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rkduszynski/Documents/Flying/MAA Documents/"/>
    </mc:Choice>
  </mc:AlternateContent>
  <xr:revisionPtr revIDLastSave="0" documentId="13_ncr:1_{CF5770D1-76E1-DA44-B71B-CB991203DF59}" xr6:coauthVersionLast="47" xr6:coauthVersionMax="47" xr10:uidLastSave="{00000000-0000-0000-0000-000000000000}"/>
  <bookViews>
    <workbookView xWindow="1440" yWindow="500" windowWidth="36960" windowHeight="21060" tabRatio="500" xr2:uid="{00000000-000D-0000-FFFF-FFFF00000000}"/>
  </bookViews>
  <sheets>
    <sheet name="MAA Weight and Balance" sheetId="3" r:id="rId1"/>
  </sheets>
  <definedNames>
    <definedName name="_xlnm.Print_Area" localSheetId="0">'MAA Weight and Balance'!$B$1:$U$30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4" i="3" l="1"/>
  <c r="B13" i="3"/>
  <c r="BC6" i="3"/>
  <c r="BC8" i="3" s="1"/>
  <c r="BD6" i="3"/>
  <c r="BD8" i="3" s="1"/>
  <c r="BE6" i="3"/>
  <c r="BE8" i="3" s="1"/>
  <c r="BF6" i="3"/>
  <c r="BF8" i="3" s="1"/>
  <c r="BC68" i="3"/>
  <c r="BD68" i="3"/>
  <c r="BE68" i="3"/>
  <c r="BC69" i="3"/>
  <c r="BD69" i="3"/>
  <c r="BE69" i="3"/>
  <c r="B9" i="3"/>
  <c r="D9" i="3"/>
  <c r="BC70" i="3" l="1"/>
  <c r="BC71" i="3" s="1"/>
  <c r="BC25" i="3" s="1"/>
  <c r="BD70" i="3"/>
  <c r="BD71" i="3" s="1"/>
  <c r="BD25" i="3" s="1"/>
  <c r="BE70" i="3"/>
  <c r="BE71" i="3" s="1"/>
  <c r="BE25" i="3" s="1"/>
  <c r="BF25" i="3" l="1"/>
  <c r="D7" i="3"/>
  <c r="B8" i="3"/>
  <c r="C28" i="3"/>
  <c r="B28" i="3"/>
  <c r="C26" i="3"/>
  <c r="H14" i="3"/>
  <c r="E14" i="3"/>
  <c r="F14" i="3" s="1"/>
  <c r="D14" i="3"/>
  <c r="E13" i="3"/>
  <c r="F13" i="3" s="1"/>
  <c r="D13" i="3"/>
  <c r="E12" i="3"/>
  <c r="F12" i="3" s="1"/>
  <c r="E11" i="3"/>
  <c r="F11" i="3" s="1"/>
  <c r="E10" i="3"/>
  <c r="F10" i="3" s="1"/>
  <c r="E9" i="3"/>
  <c r="E8" i="3"/>
  <c r="D8" i="3"/>
  <c r="H7" i="3"/>
  <c r="B26" i="3" s="1"/>
  <c r="E7" i="3" l="1"/>
  <c r="F7" i="3" s="1"/>
  <c r="F8" i="3"/>
  <c r="C16" i="3"/>
  <c r="F9" i="3"/>
  <c r="H10" i="3"/>
  <c r="BD62" i="3" l="1"/>
  <c r="BH62" i="3"/>
  <c r="BF62" i="3"/>
  <c r="B27" i="3"/>
  <c r="C27" i="3" s="1"/>
  <c r="F16" i="3"/>
  <c r="BC62" i="3" s="1"/>
  <c r="D20" i="3"/>
  <c r="C17" i="3"/>
  <c r="C21" i="3"/>
  <c r="C18" i="3"/>
  <c r="D18" i="3" s="1"/>
  <c r="F21" i="3"/>
  <c r="BC63" i="3" s="1"/>
  <c r="BF63" i="3" l="1"/>
  <c r="BD63" i="3"/>
  <c r="BH63" i="3"/>
  <c r="E21" i="3"/>
  <c r="E16" i="3"/>
  <c r="BG62" i="3" l="1"/>
  <c r="BE62" i="3"/>
  <c r="BG63" i="3"/>
  <c r="BE6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mduszyn@gmail.com</author>
  </authors>
  <commentList>
    <comment ref="BC4" authorId="0" shapeId="0" xr:uid="{6D66CFB7-F0DC-804F-BCB2-04954E429963}">
      <text>
        <r>
          <rPr>
            <sz val="10"/>
            <color rgb="FF000000"/>
            <rFont val="Tahoma"/>
            <family val="2"/>
          </rPr>
          <t xml:space="preserve">2146.1 from Cirrus W&amp;B form dated 11/28/2018
</t>
        </r>
        <r>
          <rPr>
            <sz val="10"/>
            <color rgb="FF000000"/>
            <rFont val="Tahoma"/>
            <family val="2"/>
          </rPr>
          <t>BEW based on full oil and unusable fuel per Cirrus POH 6-8.</t>
        </r>
      </text>
    </comment>
    <comment ref="BD4" authorId="0" shapeId="0" xr:uid="{F48C600E-6F35-F944-9890-123E405C0E8E}">
      <text>
        <r>
          <rPr>
            <sz val="10"/>
            <color rgb="FF000000"/>
            <rFont val="Tahoma"/>
            <family val="2"/>
          </rPr>
          <t>2097.07 from W&amp;B form in aircraft dated 4/1/22</t>
        </r>
      </text>
    </comment>
    <comment ref="BE4" authorId="0" shapeId="0" xr:uid="{38374EE4-F64C-D24E-9F0D-438903BF931E}">
      <text>
        <r>
          <rPr>
            <sz val="10"/>
            <color rgb="FF000000"/>
            <rFont val="Tahoma"/>
            <family val="2"/>
          </rPr>
          <t>1518 from Cessna W&amp;B Form in aircraft dated 4/17/19</t>
        </r>
      </text>
    </comment>
    <comment ref="BF4" authorId="0" shapeId="0" xr:uid="{D4613ED1-FCF0-FA47-A8F3-87838E2A5B98}">
      <text>
        <r>
          <rPr>
            <sz val="10"/>
            <color rgb="FF000000"/>
            <rFont val="Tahoma"/>
            <family val="2"/>
          </rPr>
          <t>1456.5 from W&amp;B form in aircraft dated 6/14/23</t>
        </r>
      </text>
    </comment>
    <comment ref="BC5" authorId="0" shapeId="0" xr:uid="{803A2A34-63A2-7D45-818F-6D6172B251E9}">
      <text>
        <r>
          <rPr>
            <sz val="10"/>
            <color rgb="FF000000"/>
            <rFont val="Tahoma"/>
            <family val="2"/>
          </rPr>
          <t>302478.3 from Cirrus W&amp;B form dated 11/28/2018</t>
        </r>
      </text>
    </comment>
    <comment ref="BD5" authorId="0" shapeId="0" xr:uid="{2B57BFA8-13EE-194A-9F24-86808549E84B}">
      <text>
        <r>
          <rPr>
            <sz val="10"/>
            <color rgb="FF000000"/>
            <rFont val="Tahoma"/>
            <family val="2"/>
          </rPr>
          <t>174401.14 from W&amp;B form in aircraft dated 4/1/22</t>
        </r>
      </text>
    </comment>
    <comment ref="BE5" authorId="0" shapeId="0" xr:uid="{4A6CE29D-9938-174D-8212-A94B6600BE79}">
      <text>
        <r>
          <rPr>
            <sz val="10"/>
            <color rgb="FF000000"/>
            <rFont val="Tahoma"/>
            <family val="2"/>
          </rPr>
          <t>59420.6 from Cessna W&amp;B Form in aircraft dated 4/17/19</t>
        </r>
      </text>
    </comment>
    <comment ref="BF5" authorId="0" shapeId="0" xr:uid="{EDC1D5D4-1591-3A48-818D-36FED5028A99}">
      <text>
        <r>
          <rPr>
            <sz val="10"/>
            <color rgb="FF000000"/>
            <rFont val="Tahoma"/>
            <family val="2"/>
          </rPr>
          <t>56831.55 from W&amp;B form in aircraft dated 6/14/23</t>
        </r>
      </text>
    </comment>
    <comment ref="H6" authorId="0" shapeId="0" xr:uid="{2D823C78-AB97-054D-8CE3-9FF549D95449}">
      <text>
        <r>
          <rPr>
            <sz val="10"/>
            <color rgb="FF000000"/>
            <rFont val="Tahoma"/>
            <family val="2"/>
          </rPr>
          <t>THIS IS THE MAXIMUM TAKEOFF WEIGHT ALLOWED FOR THE AIRCRAFT.</t>
        </r>
      </text>
    </comment>
    <comment ref="BC6" authorId="0" shapeId="0" xr:uid="{A70933FD-7938-0648-A42C-4886FF2762A8}">
      <text>
        <r>
          <rPr>
            <sz val="10"/>
            <color rgb="FF000000"/>
            <rFont val="Tahoma"/>
            <family val="2"/>
          </rPr>
          <t>140.94 from Cirrus W&amp;B form dated 11/28/2018</t>
        </r>
      </text>
    </comment>
    <comment ref="BD6" authorId="0" shapeId="0" xr:uid="{9B76D52E-E6FD-F44E-B3C0-90D1ABB0F41D}">
      <text>
        <r>
          <rPr>
            <sz val="10"/>
            <color rgb="FF000000"/>
            <rFont val="Tahoma"/>
            <family val="2"/>
          </rPr>
          <t>83.16 from W&amp;B form in aircraft dated 4/1/22</t>
        </r>
      </text>
    </comment>
    <comment ref="BE6" authorId="0" shapeId="0" xr:uid="{EF2D097D-7C7D-574D-B098-433F0B90829C}">
      <text>
        <r>
          <rPr>
            <sz val="10"/>
            <color rgb="FF000000"/>
            <rFont val="Tahoma"/>
            <family val="2"/>
          </rPr>
          <t>39.14 from Cessna W&amp;B Form in aircraft dated 4/17/19</t>
        </r>
      </text>
    </comment>
    <comment ref="BF6" authorId="0" shapeId="0" xr:uid="{D8D8E23B-1360-1D4A-8F6A-3509763C810C}">
      <text>
        <r>
          <rPr>
            <sz val="10"/>
            <color rgb="FF000000"/>
            <rFont val="Tahoma"/>
            <family val="2"/>
          </rPr>
          <t>39.02 from W&amp;B form in aircraft dated 6/14/23</t>
        </r>
      </text>
    </comment>
    <comment ref="BC7" authorId="0" shapeId="0" xr:uid="{FEBF1530-8FA7-C24C-A3A8-08931A65CEBD}">
      <text>
        <r>
          <rPr>
            <sz val="10"/>
            <color rgb="FF000000"/>
            <rFont val="Tahoma"/>
            <family val="2"/>
          </rPr>
          <t>3000 from Cirrus POH 1-7</t>
        </r>
      </text>
    </comment>
    <comment ref="BD7" authorId="0" shapeId="0" xr:uid="{4AF61C23-701A-C042-9623-F8BE1A9C583F}">
      <text>
        <r>
          <rPr>
            <sz val="10"/>
            <color rgb="FF000000"/>
            <rFont val="Tahoma"/>
            <family val="2"/>
          </rPr>
          <t xml:space="preserve">3400 from W&amp;B form in aircraft dated 4/1/22
</t>
        </r>
        <r>
          <rPr>
            <sz val="10"/>
            <color rgb="FF000000"/>
            <rFont val="Tahoma"/>
            <family val="2"/>
          </rPr>
          <t xml:space="preserve">(Empty Weight 2097.04 +New Useful Load 1302.93) </t>
        </r>
      </text>
    </comment>
    <comment ref="BE7" authorId="0" shapeId="0" xr:uid="{7F263D80-5E74-5442-9B3F-21377D87854D}">
      <text>
        <r>
          <rPr>
            <sz val="10"/>
            <color rgb="FF000000"/>
            <rFont val="Tahoma"/>
            <family val="2"/>
          </rPr>
          <t>2400 lbs from Delta Hawk STC</t>
        </r>
      </text>
    </comment>
    <comment ref="BF7" authorId="0" shapeId="0" xr:uid="{02DC56CC-FCEE-5443-96CC-78C372F7041B}">
      <text>
        <r>
          <rPr>
            <sz val="10"/>
            <color rgb="FF000000"/>
            <rFont val="Tahoma"/>
            <family val="2"/>
          </rPr>
          <t>2400 lbs from Delta Hawk STC</t>
        </r>
      </text>
    </comment>
    <comment ref="H9" authorId="0" shapeId="0" xr:uid="{57319D66-1934-1F43-B47F-8A3C46B382EC}">
      <text>
        <r>
          <rPr>
            <sz val="10"/>
            <color rgb="FF000000"/>
            <rFont val="Tahoma"/>
            <family val="2"/>
          </rPr>
          <t xml:space="preserve">THIS IS THE CALCULATED MAX  USEFUL LOAD FOR THE AIRCRAFT, MINUS FUEL.
</t>
        </r>
        <r>
          <rPr>
            <sz val="10"/>
            <color rgb="FF000000"/>
            <rFont val="Tahoma"/>
            <family val="2"/>
          </rPr>
          <t>(REDUCING FUEL INCREASES CABIN WEIGHT ALLOWED.)</t>
        </r>
      </text>
    </comment>
    <comment ref="BC9" authorId="0" shapeId="0" xr:uid="{D91E7C40-C3AE-B944-98DD-B6A90A46332B}">
      <text>
        <r>
          <rPr>
            <sz val="10"/>
            <color rgb="FF000000"/>
            <rFont val="Tahoma"/>
            <family val="2"/>
          </rPr>
          <t>78.4 from Cirrus POH 6-8</t>
        </r>
      </text>
    </comment>
    <comment ref="BD9" authorId="0" shapeId="0" xr:uid="{CE1EB231-18D9-E54B-AEB6-6780E8CFC87A}">
      <text>
        <r>
          <rPr>
            <sz val="10"/>
            <color rgb="FF000000"/>
            <rFont val="Tahoma"/>
            <family val="2"/>
          </rPr>
          <t>16.6 inches from Piper POH pg 5-7</t>
        </r>
      </text>
    </comment>
    <comment ref="BE9" authorId="0" shapeId="0" xr:uid="{88C60350-AA88-FC47-873A-92F8B11396A5}">
      <text>
        <r>
          <rPr>
            <sz val="10"/>
            <color rgb="FF000000"/>
            <rFont val="Tahoma"/>
            <family val="2"/>
          </rPr>
          <t>-14.0 from Cessna POH Fig. 6-1 Section 6-4</t>
        </r>
      </text>
    </comment>
    <comment ref="BF9" authorId="0" shapeId="0" xr:uid="{F1A70300-735D-7449-8023-5BC084967939}">
      <text>
        <r>
          <rPr>
            <sz val="10"/>
            <color rgb="FF000000"/>
            <rFont val="Tahoma"/>
            <family val="2"/>
          </rPr>
          <t>-14.0 from Cessna POH Fig. 6-1 Section 6-4</t>
        </r>
      </text>
    </comment>
    <comment ref="BC10" authorId="0" shapeId="0" xr:uid="{D8F6B1F7-14D6-604F-A90C-EBC0373280D3}">
      <text>
        <r>
          <rPr>
            <sz val="10"/>
            <color rgb="FF000000"/>
            <rFont val="Tahoma"/>
            <family val="2"/>
          </rPr>
          <t>153.8 from Cirrus POH 6-15.</t>
        </r>
      </text>
    </comment>
    <comment ref="BD10" authorId="0" shapeId="0" xr:uid="{17251632-D090-C24F-93F3-AE0F23E00970}">
      <text>
        <r>
          <rPr>
            <sz val="10"/>
            <color rgb="FF000000"/>
            <rFont val="Tahoma"/>
            <family val="2"/>
          </rPr>
          <t>95 inches from Piper POH pg 5-8</t>
        </r>
      </text>
    </comment>
    <comment ref="BE10" authorId="0" shapeId="0" xr:uid="{7CEEF4F9-FF2D-1E48-BE8A-0B6ADCBA54BC}">
      <text>
        <r>
          <rPr>
            <sz val="10"/>
            <color rgb="FF000000"/>
            <rFont val="Tahoma"/>
            <family val="2"/>
          </rPr>
          <t>46.0 from Cessna POH Fig. 6-1 Section 6-4</t>
        </r>
      </text>
    </comment>
    <comment ref="BF10" authorId="0" shapeId="0" xr:uid="{681B7AD9-047B-3140-873C-DD630C46A9ED}">
      <text>
        <r>
          <rPr>
            <sz val="10"/>
            <color rgb="FF000000"/>
            <rFont val="Tahoma"/>
            <family val="2"/>
          </rPr>
          <t>46.0 from Cessna POH Fig. 6-1 Section 6-4</t>
        </r>
      </text>
    </comment>
    <comment ref="BC11" authorId="0" shapeId="0" xr:uid="{E1B3833D-3405-E140-9B8A-D27B4CE6F711}">
      <text>
        <r>
          <rPr>
            <sz val="10"/>
            <color rgb="FF000000"/>
            <rFont val="Tahoma"/>
            <family val="2"/>
          </rPr>
          <t>143.5 from Cirrus POH 6-15</t>
        </r>
      </text>
    </comment>
    <comment ref="BD11" authorId="0" shapeId="0" xr:uid="{CCBD4B3F-DCCD-554E-BA6E-6B14AA50CE55}">
      <text>
        <r>
          <rPr>
            <sz val="10"/>
            <color rgb="FF000000"/>
            <rFont val="Tahoma"/>
            <family val="2"/>
          </rPr>
          <t>85.5 inches from Piper POH pg 5-8</t>
        </r>
      </text>
    </comment>
    <comment ref="BE11" authorId="0" shapeId="0" xr:uid="{6850B59E-10B4-1641-B0CB-5AFFCC1FA6AA}">
      <text>
        <r>
          <rPr>
            <sz val="10"/>
            <color rgb="FF000000"/>
            <rFont val="Tahoma"/>
            <family val="2"/>
          </rPr>
          <t>37 from Cessna POH Fig. 6-3 Section 6-7</t>
        </r>
      </text>
    </comment>
    <comment ref="BF11" authorId="0" shapeId="0" xr:uid="{3DE79A0F-A2BF-DC41-93FB-2DFCBE9473F5}">
      <text>
        <r>
          <rPr>
            <sz val="10"/>
            <color rgb="FF000000"/>
            <rFont val="Tahoma"/>
            <family val="2"/>
          </rPr>
          <t>37 from Cessna POH Fig. 6-3 Section 6-7</t>
        </r>
      </text>
    </comment>
    <comment ref="BC12" authorId="0" shapeId="0" xr:uid="{282A4E1F-812D-AE41-A984-31A233F6DB71}">
      <text>
        <r>
          <rPr>
            <sz val="10"/>
            <color rgb="FF000000"/>
            <rFont val="Tahoma"/>
            <family val="2"/>
          </rPr>
          <t>180 from Cirrus POH 6-15</t>
        </r>
      </text>
    </comment>
    <comment ref="BD12" authorId="0" shapeId="0" xr:uid="{B4C00E63-6D00-0C4E-9A0C-69780C153D0C}">
      <text>
        <r>
          <rPr>
            <sz val="10"/>
            <color rgb="FF000000"/>
            <rFont val="Tahoma"/>
            <family val="2"/>
          </rPr>
          <t>118.1 inches from Piper POH pg 5-8</t>
        </r>
      </text>
    </comment>
    <comment ref="BE12" authorId="0" shapeId="0" xr:uid="{3638515C-7617-5841-8101-8920AD170089}">
      <text>
        <r>
          <rPr>
            <sz val="10"/>
            <color rgb="FF000000"/>
            <rFont val="Tahoma"/>
            <family val="2"/>
          </rPr>
          <t>73 from Cessna POH Fig. 6-3 Section 6-7</t>
        </r>
      </text>
    </comment>
    <comment ref="BF12" authorId="0" shapeId="0" xr:uid="{AD33E63C-E638-AC4B-8FB3-179397387CCD}">
      <text>
        <r>
          <rPr>
            <sz val="10"/>
            <color rgb="FF000000"/>
            <rFont val="Tahoma"/>
            <family val="2"/>
          </rPr>
          <t>73 from Cessna POH Fig. 6-3 Section 6-7</t>
        </r>
      </text>
    </comment>
    <comment ref="H13" authorId="0" shapeId="0" xr:uid="{BAEEF25B-8A56-DA4E-A679-3BD074C939FF}">
      <text>
        <r>
          <rPr>
            <sz val="10"/>
            <color rgb="FF000000"/>
            <rFont val="Tahoma"/>
            <family val="2"/>
          </rPr>
          <t>THIS IS THETOTAL  ESTIMATED CABIN WEIGHT ALREADY ENTERED.</t>
        </r>
      </text>
    </comment>
    <comment ref="BC13" authorId="0" shapeId="0" xr:uid="{EBDD7B16-B9BC-FC4D-BC9C-7832316A5FB7}">
      <text>
        <r>
          <rPr>
            <sz val="10"/>
            <color rgb="FF000000"/>
            <rFont val="Tahoma"/>
            <family val="2"/>
          </rPr>
          <t>N/A for Cirrus SR20</t>
        </r>
      </text>
    </comment>
    <comment ref="BD13" authorId="0" shapeId="0" xr:uid="{A1A590DA-8108-664B-8AB9-F414C79B75EA}">
      <text>
        <r>
          <rPr>
            <sz val="10"/>
            <color rgb="FF000000"/>
            <rFont val="Tahoma"/>
            <family val="2"/>
          </rPr>
          <t>155.7 inches from Piper POH pg 5-8</t>
        </r>
      </text>
    </comment>
    <comment ref="BC14" authorId="0" shapeId="0" xr:uid="{04B518FC-03AF-C546-85B1-15AD3603B54F}">
      <text>
        <r>
          <rPr>
            <sz val="10"/>
            <color rgb="FF000000"/>
            <rFont val="Tahoma"/>
            <family val="2"/>
          </rPr>
          <t>208.0 from Cirrus POH 6-15</t>
        </r>
      </text>
    </comment>
    <comment ref="BD14" authorId="0" shapeId="0" xr:uid="{EA1780C0-5C25-DB4C-A888-BF7460F25299}">
      <text>
        <r>
          <rPr>
            <sz val="10"/>
            <color rgb="FF000000"/>
            <rFont val="Tahoma"/>
            <family val="2"/>
          </rPr>
          <t>42.0 inches from Piper POH pg 5-8</t>
        </r>
      </text>
    </comment>
    <comment ref="BE14" authorId="0" shapeId="0" xr:uid="{82EE7801-E2FD-5F4F-AF9E-CDBDBD660A39}">
      <text>
        <r>
          <rPr>
            <sz val="10"/>
            <color rgb="FF000000"/>
            <rFont val="Tahoma"/>
            <family val="2"/>
          </rPr>
          <t>95 from Cessna POH Fig. 6-3 Section 6-7</t>
        </r>
      </text>
    </comment>
    <comment ref="BF14" authorId="0" shapeId="0" xr:uid="{49D3E03B-632B-BE4D-96F2-E049BFDA05BF}">
      <text>
        <r>
          <rPr>
            <sz val="10"/>
            <color rgb="FF000000"/>
            <rFont val="Tahoma"/>
            <family val="2"/>
          </rPr>
          <t>95 from Cessna POH Fig. 6-3 Section 6-7</t>
        </r>
      </text>
    </comment>
    <comment ref="BC15" authorId="0" shapeId="0" xr:uid="{9CBA1ACB-1A9A-AA49-91CD-1B8A7AC75E69}">
      <text>
        <r>
          <rPr>
            <sz val="10"/>
            <color rgb="FF000000"/>
            <rFont val="Tahoma"/>
            <family val="2"/>
          </rPr>
          <t>N/A for Cirrus SR20</t>
        </r>
      </text>
    </comment>
    <comment ref="BD15" authorId="0" shapeId="0" xr:uid="{978C896C-AEDD-0347-B284-E41BCCA0C32E}">
      <text>
        <r>
          <rPr>
            <sz val="10"/>
            <color rgb="FF000000"/>
            <rFont val="Tahoma"/>
            <family val="2"/>
          </rPr>
          <t>178.7 inches from Piper POH pg 5-8</t>
        </r>
      </text>
    </comment>
    <comment ref="BE15" authorId="0" shapeId="0" xr:uid="{D051EC31-03A7-7343-9762-1771623290EF}">
      <text>
        <r>
          <rPr>
            <sz val="10"/>
            <color rgb="FF000000"/>
            <rFont val="Tahoma"/>
            <family val="2"/>
          </rPr>
          <t>123 from Cessna POH Fig. 6-3 Section 6-7</t>
        </r>
      </text>
    </comment>
    <comment ref="BF15" authorId="0" shapeId="0" xr:uid="{08895C66-7CC4-3948-A8C9-D8CD0CFBDA42}">
      <text>
        <r>
          <rPr>
            <sz val="10"/>
            <color rgb="FF000000"/>
            <rFont val="Tahoma"/>
            <family val="2"/>
          </rPr>
          <t>123 from Cessna POH Fig. 6-3 Section 6-7</t>
        </r>
      </text>
    </comment>
    <comment ref="BC16" authorId="0" shapeId="0" xr:uid="{8947E973-0D25-ED4A-BD70-4DA9E51D34C7}">
      <text>
        <r>
          <rPr>
            <sz val="10"/>
            <color rgb="FF000000"/>
            <rFont val="Tahoma"/>
            <family val="2"/>
          </rPr>
          <t>130 from Cirrus POH 1-7</t>
        </r>
      </text>
    </comment>
    <comment ref="BD16" authorId="0" shapeId="0" xr:uid="{EABBBE46-CE68-CC41-914F-A01344C4A076}">
      <text>
        <r>
          <rPr>
            <sz val="10"/>
            <color rgb="FF000000"/>
            <rFont val="Tahoma"/>
            <family val="2"/>
          </rPr>
          <t>100 lbs from Piper poH pg 1-2</t>
        </r>
      </text>
    </comment>
    <comment ref="BE16" authorId="0" shapeId="0" xr:uid="{40B039FC-CAA0-B64C-A88B-38418C7C0DF8}">
      <text>
        <r>
          <rPr>
            <sz val="10"/>
            <color rgb="FF000000"/>
            <rFont val="Tahoma"/>
            <family val="2"/>
          </rPr>
          <t xml:space="preserve">70 lbs based onnotes in Cessna POH, page 1-5. 
</t>
        </r>
        <r>
          <rPr>
            <sz val="10"/>
            <color rgb="FF000000"/>
            <rFont val="Tahoma"/>
            <family val="2"/>
          </rPr>
          <t>Maximum Baggage areas total weight of 120 lbs, and max weight of Baggage area 2 is 50 lbs.</t>
        </r>
      </text>
    </comment>
    <comment ref="BF16" authorId="0" shapeId="0" xr:uid="{E648FC4C-09BF-5F47-B723-0EAE1AA89F34}">
      <text>
        <r>
          <rPr>
            <sz val="10"/>
            <color rgb="FF000000"/>
            <rFont val="Tahoma"/>
            <family val="2"/>
          </rPr>
          <t xml:space="preserve">70 lbs based onnotes in Cessna POH, page 1-5. 
</t>
        </r>
        <r>
          <rPr>
            <sz val="10"/>
            <color rgb="FF000000"/>
            <rFont val="Tahoma"/>
            <family val="2"/>
          </rPr>
          <t>Maximum Baggage areas total weight of 120 lbs, and max weight of Baggage area 2 is 50 lbs.</t>
        </r>
      </text>
    </comment>
    <comment ref="BD17" authorId="0" shapeId="0" xr:uid="{81DA001D-8C5E-DB40-AA9B-3530CB9ADBEE}">
      <text>
        <r>
          <rPr>
            <sz val="10"/>
            <color rgb="FF000000"/>
            <rFont val="Tahoma"/>
            <family val="2"/>
          </rPr>
          <t>100 lbs from Piper poH pg 1-2</t>
        </r>
      </text>
    </comment>
    <comment ref="BE17" authorId="0" shapeId="0" xr:uid="{35530887-DF3F-DF4F-A46E-B0027F3BBF7F}">
      <text>
        <r>
          <rPr>
            <sz val="10"/>
            <color rgb="FF000000"/>
            <rFont val="Tahoma"/>
            <family val="2"/>
          </rPr>
          <t xml:space="preserve">50 lbs based onnotes in Cessna POH, page 1-5. 
</t>
        </r>
        <r>
          <rPr>
            <sz val="10"/>
            <color rgb="FF000000"/>
            <rFont val="Tahoma"/>
            <family val="2"/>
          </rPr>
          <t>Maximum Baggage weight for area 2 is 50 lbs.</t>
        </r>
      </text>
    </comment>
    <comment ref="BF17" authorId="0" shapeId="0" xr:uid="{E8374060-BE70-3247-9BBE-AF22F2400E4C}">
      <text>
        <r>
          <rPr>
            <sz val="10"/>
            <color rgb="FF000000"/>
            <rFont val="Tahoma"/>
            <family val="2"/>
          </rPr>
          <t xml:space="preserve">50 lbs based onnotes in Cessna POH, page 1-5. 
</t>
        </r>
        <r>
          <rPr>
            <sz val="10"/>
            <color rgb="FF000000"/>
            <rFont val="Tahoma"/>
            <family val="2"/>
          </rPr>
          <t>Maximum Baggage weight for area 2 is 50 lbs.</t>
        </r>
      </text>
    </comment>
    <comment ref="BC18" authorId="0" shapeId="0" xr:uid="{5366C0CE-3AE2-F54F-90A5-B1BA4FF28B1C}">
      <text>
        <r>
          <rPr>
            <sz val="10"/>
            <color rgb="FF000000"/>
            <rFont val="Tahoma"/>
            <family val="2"/>
          </rPr>
          <t>4.5 from Cirrus POH 1-7  (60.5-56)</t>
        </r>
      </text>
    </comment>
    <comment ref="BD18" authorId="0" shapeId="0" xr:uid="{934EEDCC-0A91-FB44-931F-E39E0C88555F}">
      <text>
        <r>
          <rPr>
            <sz val="10"/>
            <color rgb="FF000000"/>
            <rFont val="Tahoma"/>
            <family val="2"/>
          </rPr>
          <t>0.4 Gal from Piper POH pg 5-5</t>
        </r>
      </text>
    </comment>
    <comment ref="BE18" authorId="0" shapeId="0" xr:uid="{16DD8FC9-CF19-D14F-A687-3BBF89CF974E}">
      <text>
        <r>
          <rPr>
            <sz val="10"/>
            <color rgb="FF000000"/>
            <rFont val="Tahoma"/>
            <family val="2"/>
          </rPr>
          <t xml:space="preserve">3 Gal based on Cessna POH pg 1-4
</t>
        </r>
        <r>
          <rPr>
            <sz val="10"/>
            <color rgb="FF000000"/>
            <rFont val="Tahoma"/>
            <family val="2"/>
          </rPr>
          <t>Total Fuel Capacity of 43 Gal, Usable Fuel of 40 Gal</t>
        </r>
      </text>
    </comment>
    <comment ref="BF18" authorId="0" shapeId="0" xr:uid="{58A29D21-DFE8-0D48-91CE-B09C7000DB48}">
      <text>
        <r>
          <rPr>
            <sz val="10"/>
            <color rgb="FF000000"/>
            <rFont val="Tahoma"/>
            <family val="2"/>
          </rPr>
          <t xml:space="preserve">3 Gal based on Cessna POH pg 1-4
</t>
        </r>
        <r>
          <rPr>
            <sz val="10"/>
            <color rgb="FF000000"/>
            <rFont val="Tahoma"/>
            <family val="2"/>
          </rPr>
          <t>Total Fuel Capacity of 43 Gal, Usable Fuel of 40 Gal</t>
        </r>
      </text>
    </comment>
    <comment ref="BD19" authorId="0" shapeId="0" xr:uid="{E6C3ACEB-D640-1A4F-B849-5287C6EE9339}">
      <text>
        <r>
          <rPr>
            <sz val="10"/>
            <color rgb="FF000000"/>
            <rFont val="Tahoma"/>
            <family val="2"/>
          </rPr>
          <t>12 Qts from Piper POH pg 5-7</t>
        </r>
      </text>
    </comment>
    <comment ref="BE19" authorId="0" shapeId="0" xr:uid="{076489C1-31F0-474D-A80C-B6098146636D}">
      <text>
        <r>
          <rPr>
            <sz val="10"/>
            <color rgb="FF000000"/>
            <rFont val="Tahoma"/>
            <family val="2"/>
          </rPr>
          <t>7 Qt from Delta Hawk Specs</t>
        </r>
      </text>
    </comment>
    <comment ref="BF19" authorId="0" shapeId="0" xr:uid="{4A1BBF02-F514-7841-870B-C23426DB1639}">
      <text>
        <r>
          <rPr>
            <sz val="10"/>
            <color rgb="FF000000"/>
            <rFont val="Tahoma"/>
            <family val="2"/>
          </rPr>
          <t>7 Qt from Delta Hawk Specs</t>
        </r>
      </text>
    </comment>
    <comment ref="BC20" authorId="0" shapeId="0" xr:uid="{24E865EE-F35F-EC4A-BFA6-E7719AD786B3}">
      <text>
        <r>
          <rPr>
            <sz val="10"/>
            <color rgb="FF000000"/>
            <rFont val="Tahoma"/>
            <family val="2"/>
          </rPr>
          <t>MAA recommended Max Oil Fill to avoid blowing oil out exhaust and improve accuracy of determining Oill consumption.</t>
        </r>
      </text>
    </comment>
    <comment ref="BD20" authorId="0" shapeId="0" xr:uid="{E74E721D-532D-EF48-99F9-366349AB5E00}">
      <text>
        <r>
          <rPr>
            <sz val="10"/>
            <color rgb="FF000000"/>
            <rFont val="Tahoma"/>
            <family val="2"/>
          </rPr>
          <t>MAA recommended Max Oil Fill to avoid blowing oil out exhaust and improve accuracy of determining Oill consumption.</t>
        </r>
      </text>
    </comment>
    <comment ref="BE20" authorId="0" shapeId="0" xr:uid="{39A078B9-C01F-D940-A42C-2FD0CF1329AD}">
      <text>
        <r>
          <rPr>
            <sz val="10"/>
            <color rgb="FF000000"/>
            <rFont val="Tahoma"/>
            <family val="2"/>
          </rPr>
          <t>MAA recommended Max Oil Fill to avoid blowing oil out exhaust and improve accuracy of determining Oill consumption.</t>
        </r>
      </text>
    </comment>
    <comment ref="BF20" authorId="0" shapeId="0" xr:uid="{A87220F5-BAB7-9D4A-AC2F-63D2D913F11F}">
      <text>
        <r>
          <rPr>
            <sz val="10"/>
            <color rgb="FF000000"/>
            <rFont val="Tahoma"/>
            <family val="2"/>
          </rPr>
          <t>MAA recommended Max Oil Fill to avoid blowing oil out exhaust and improve accuracy of determining Oill consumption.</t>
        </r>
      </text>
    </comment>
    <comment ref="BC21" authorId="0" shapeId="0" xr:uid="{734D1DDF-B4AD-1C4C-BD3D-2AB80D027D0E}">
      <text>
        <r>
          <rPr>
            <sz val="10"/>
            <color rgb="FF000000"/>
            <rFont val="Tahoma"/>
            <family val="2"/>
          </rPr>
          <t xml:space="preserve">CPOH S2, pg4 V0 = 114KIAS for 2300lbs
</t>
        </r>
        <r>
          <rPr>
            <sz val="10"/>
            <color rgb="FF000000"/>
            <rFont val="Tahoma"/>
            <family val="2"/>
          </rPr>
          <t>CPOH S3, pg4 V0 = 111KIAS for 2200lbs</t>
        </r>
      </text>
    </comment>
    <comment ref="BD21" authorId="0" shapeId="0" xr:uid="{F8D643F2-B987-3343-9053-E9581E4014C8}">
      <text>
        <r>
          <rPr>
            <sz val="10"/>
            <color rgb="FF000000"/>
            <rFont val="Tahoma"/>
            <family val="2"/>
          </rPr>
          <t xml:space="preserve">2400 lbs from keithp.com 
</t>
        </r>
        <r>
          <rPr>
            <sz val="10"/>
            <color rgb="FF000000"/>
            <rFont val="Tahoma"/>
            <family val="2"/>
          </rPr>
          <t>POH for Piper PA-32-300 Limitations pg 2-1  Revised 5/15/1981</t>
        </r>
      </text>
    </comment>
    <comment ref="BE21" authorId="0" shapeId="0" xr:uid="{D14111C2-CE62-4C42-BEBB-7EB0298F4998}">
      <text>
        <r>
          <rPr>
            <sz val="10"/>
            <color rgb="FF000000"/>
            <rFont val="Tahoma"/>
            <family val="2"/>
          </rPr>
          <t>1600 lbs from Cessna POH pg 2-4 for range of Va speeds.</t>
        </r>
      </text>
    </comment>
    <comment ref="BF21" authorId="0" shapeId="0" xr:uid="{10D0F874-A4FC-7B4E-9496-0471AA546A7B}">
      <text>
        <r>
          <rPr>
            <sz val="10"/>
            <color rgb="FF000000"/>
            <rFont val="Tahoma"/>
            <family val="2"/>
          </rPr>
          <t>1600 lbs from Cessna POH pg 2-4 for range of Va speeds.</t>
        </r>
      </text>
    </comment>
    <comment ref="BC22" authorId="0" shapeId="0" xr:uid="{B9A1E656-D291-B74F-9FBC-F7B55B8C7733}">
      <text>
        <r>
          <rPr>
            <sz val="10"/>
            <color rgb="FF000000"/>
            <rFont val="Tahoma"/>
            <family val="2"/>
          </rPr>
          <t>131 from Cirrus POH 2-4</t>
        </r>
      </text>
    </comment>
    <comment ref="BD22" authorId="0" shapeId="0" xr:uid="{590EE354-6140-CE4F-812D-856414E2E3D8}">
      <text>
        <r>
          <rPr>
            <sz val="10"/>
            <color rgb="FF000000"/>
            <rFont val="Tahoma"/>
            <family val="2"/>
          </rPr>
          <t xml:space="preserve">131 KIAS from keithp.com 
</t>
        </r>
        <r>
          <rPr>
            <sz val="10"/>
            <color rgb="FF000000"/>
            <rFont val="Tahoma"/>
            <family val="2"/>
          </rPr>
          <t>POH for Piper PA-32-300 Limitations pg 2-1  Revised 5/15/1981</t>
        </r>
      </text>
    </comment>
    <comment ref="BE22" authorId="0" shapeId="0" xr:uid="{A31119FB-192A-1544-828F-7420785A2E79}">
      <text>
        <r>
          <rPr>
            <sz val="10"/>
            <color rgb="FF000000"/>
            <rFont val="Tahoma"/>
            <family val="2"/>
          </rPr>
          <t xml:space="preserve">97 KIAS from Cessna POH pg 2-4 for range of Va speeds.
</t>
        </r>
        <r>
          <rPr>
            <sz val="10"/>
            <color rgb="FF000000"/>
            <rFont val="Tahoma"/>
            <family val="2"/>
          </rPr>
          <t>Not adjusted for 2400 lbs.</t>
        </r>
      </text>
    </comment>
    <comment ref="BF22" authorId="0" shapeId="0" xr:uid="{B627C325-447E-9E4B-9B9F-1FA87E3C3FE7}">
      <text>
        <r>
          <rPr>
            <sz val="10"/>
            <color rgb="FF000000"/>
            <rFont val="Tahoma"/>
            <family val="2"/>
          </rPr>
          <t xml:space="preserve">97 KIAS from Cessna POH pg 2-4 for range of Va speeds.
</t>
        </r>
        <r>
          <rPr>
            <sz val="10"/>
            <color rgb="FF000000"/>
            <rFont val="Tahoma"/>
            <family val="2"/>
          </rPr>
          <t>Not adjusted for 2400 lbs.</t>
        </r>
      </text>
    </comment>
    <comment ref="BC23" authorId="0" shapeId="0" xr:uid="{6D05F691-6A86-254C-B26E-B467A14136F7}">
      <text>
        <r>
          <rPr>
            <sz val="10"/>
            <color rgb="FF000000"/>
            <rFont val="Calibri"/>
            <family val="2"/>
            <scheme val="minor"/>
          </rPr>
          <t>111 at 2200lbs from Cirrus POH 2-4</t>
        </r>
        <r>
          <rPr>
            <sz val="10"/>
            <color rgb="FF000000"/>
            <rFont val="Calibri"/>
            <family val="2"/>
            <scheme val="minor"/>
          </rPr>
          <t xml:space="preserve">
</t>
        </r>
      </text>
    </comment>
    <comment ref="BD23" authorId="0" shapeId="0" xr:uid="{BD00BA56-6E54-D14C-BACD-C9867BF3A315}">
      <text>
        <r>
          <rPr>
            <sz val="10"/>
            <color rgb="FF000000"/>
            <rFont val="Tahoma"/>
            <family val="2"/>
          </rPr>
          <t xml:space="preserve">114 KIAS from keithp.com 
</t>
        </r>
        <r>
          <rPr>
            <sz val="10"/>
            <color rgb="FF000000"/>
            <rFont val="Tahoma"/>
            <family val="2"/>
          </rPr>
          <t>POH for Piper PA-32-300 Limitations pg 2-1  Revised 5/15/1981</t>
        </r>
      </text>
    </comment>
    <comment ref="BE23" authorId="0" shapeId="0" xr:uid="{BE766174-A49A-DB4A-9EFF-6AD825FFEA75}">
      <text>
        <r>
          <rPr>
            <sz val="10"/>
            <color rgb="FF000000"/>
            <rFont val="Tahoma"/>
            <family val="2"/>
          </rPr>
          <t>80 KIAS from Cessna POH pg 2-4 for range of Va speeds.</t>
        </r>
      </text>
    </comment>
    <comment ref="BF23" authorId="0" shapeId="0" xr:uid="{6F31B73F-6CB8-844D-BD49-C84F7EC78E9A}">
      <text>
        <r>
          <rPr>
            <sz val="10"/>
            <color rgb="FF000000"/>
            <rFont val="Tahoma"/>
            <family val="2"/>
          </rPr>
          <t>80 KIAS from Cessna POH pg 2-4 for range of Va speeds.</t>
        </r>
      </text>
    </comment>
    <comment ref="BC24" authorId="0" shapeId="0" xr:uid="{6C2A2D45-64D7-B54C-B143-C461AAF9AB2C}">
      <text>
        <r>
          <rPr>
            <sz val="10"/>
            <color rgb="FF000000"/>
            <rFont val="Tahoma"/>
            <family val="2"/>
          </rPr>
          <t>60.5 from Cirrus POH 1-7</t>
        </r>
      </text>
    </comment>
    <comment ref="BD24" authorId="0" shapeId="0" xr:uid="{C55EE0F6-D0FA-EF44-B4AC-7259988F62D8}">
      <text>
        <r>
          <rPr>
            <sz val="10"/>
            <color rgb="FF000000"/>
            <rFont val="Tahoma"/>
            <family val="2"/>
          </rPr>
          <t xml:space="preserve">83.6 Gal from Piper POH pg 5-5 stating .4 Gal Unusable Fuel, 84 Gal Max Capacity.
</t>
        </r>
        <r>
          <rPr>
            <sz val="10"/>
            <color rgb="FF000000"/>
            <rFont val="Tahoma"/>
            <family val="2"/>
          </rPr>
          <t xml:space="preserve">keithp.com Piper POH 2-9:
</t>
        </r>
        <r>
          <rPr>
            <sz val="10"/>
            <color rgb="FF000000"/>
            <rFont val="Tahoma"/>
            <family val="2"/>
          </rPr>
          <t>Outboard Tanks are 17 gal eack, Inboard Tanks are 25 Gal each (18 Gal to bottom of Filler Neck Indicator)</t>
        </r>
      </text>
    </comment>
    <comment ref="BE24" authorId="0" shapeId="0" xr:uid="{43BEDE00-9D74-4743-8D2F-F63B27A09908}">
      <text>
        <r>
          <rPr>
            <sz val="10"/>
            <color rgb="FF000000"/>
            <rFont val="Tahoma"/>
            <family val="2"/>
          </rPr>
          <t xml:space="preserve">40 Gal based on Cessna POH pg 1-4
</t>
        </r>
        <r>
          <rPr>
            <sz val="10"/>
            <color rgb="FF000000"/>
            <rFont val="Tahoma"/>
            <family val="2"/>
          </rPr>
          <t>Usable Fuel of 40 Gal</t>
        </r>
      </text>
    </comment>
    <comment ref="BF24" authorId="0" shapeId="0" xr:uid="{CABCE65E-3BA7-764C-A6F7-AC4C662364C1}">
      <text>
        <r>
          <rPr>
            <sz val="10"/>
            <color rgb="FF000000"/>
            <rFont val="Tahoma"/>
            <family val="2"/>
          </rPr>
          <t xml:space="preserve">40 Gal based on Cessna POH pg 1-4
</t>
        </r>
        <r>
          <rPr>
            <sz val="10"/>
            <color rgb="FF000000"/>
            <rFont val="Tahoma"/>
            <family val="2"/>
          </rPr>
          <t>Usable Fuel of 40 Gal</t>
        </r>
      </text>
    </comment>
    <comment ref="BC25" authorId="0" shapeId="0" xr:uid="{E692850A-1497-F14B-A10B-A5B539B3662F}">
      <text>
        <r>
          <rPr>
            <sz val="10"/>
            <color rgb="FF000000"/>
            <rFont val="Tahoma"/>
            <family val="2"/>
          </rPr>
          <t>Calculated from Initial Flight Chart</t>
        </r>
      </text>
    </comment>
    <comment ref="BD25" authorId="0" shapeId="0" xr:uid="{24A7609F-8EF5-7A44-A8B8-31A5B8F5136C}">
      <text>
        <r>
          <rPr>
            <sz val="10"/>
            <color rgb="FF000000"/>
            <rFont val="Tahoma"/>
            <family val="2"/>
          </rPr>
          <t>Calculated from Initial Flight Chart</t>
        </r>
      </text>
    </comment>
    <comment ref="BE25" authorId="0" shapeId="0" xr:uid="{F80E5584-77D5-0D4C-A4E6-2DA8C98A7502}">
      <text>
        <r>
          <rPr>
            <sz val="10"/>
            <color rgb="FF000000"/>
            <rFont val="Tahoma"/>
            <family val="2"/>
          </rPr>
          <t>Calculated from Initial Flight Chart</t>
        </r>
      </text>
    </comment>
    <comment ref="BF25" authorId="0" shapeId="0" xr:uid="{701ACC3E-D022-2D42-B397-0C76998DA7E6}">
      <text>
        <r>
          <rPr>
            <sz val="10"/>
            <color rgb="FF000000"/>
            <rFont val="Tahoma"/>
            <family val="2"/>
          </rPr>
          <t>Calculated from Initial Flight Chart</t>
        </r>
      </text>
    </comment>
    <comment ref="BE33" authorId="0" shapeId="0" xr:uid="{E78AA2C8-7F55-644F-ACFE-B59E6873300E}">
      <text>
        <r>
          <rPr>
            <sz val="10"/>
            <color rgb="FF000000"/>
            <rFont val="Tahoma"/>
            <family val="2"/>
          </rPr>
          <t>W&amp;B Envelope from Cirrus POH Figure 2-4 pg 2-9</t>
        </r>
      </text>
    </comment>
  </commentList>
</comments>
</file>

<file path=xl/sharedStrings.xml><?xml version="1.0" encoding="utf-8"?>
<sst xmlns="http://schemas.openxmlformats.org/spreadsheetml/2006/main" count="100" uniqueCount="87">
  <si>
    <t>Item</t>
  </si>
  <si>
    <t>Maneuvering
Speed (mph)</t>
  </si>
  <si>
    <t>Moment</t>
  </si>
  <si>
    <t>Comments</t>
  </si>
  <si>
    <t>Weight (lbs)</t>
  </si>
  <si>
    <t>Gross Weight</t>
  </si>
  <si>
    <t>Cessna</t>
  </si>
  <si>
    <t>CG</t>
  </si>
  <si>
    <t>MGW</t>
  </si>
  <si>
    <t>N341FC</t>
  </si>
  <si>
    <t>N739UF</t>
  </si>
  <si>
    <t>Piper</t>
  </si>
  <si>
    <t>N446CD</t>
  </si>
  <si>
    <t>N6960J</t>
  </si>
  <si>
    <t>OIL LOC</t>
  </si>
  <si>
    <t>FUEL LOC</t>
  </si>
  <si>
    <t>PI/CO_PI LOC</t>
  </si>
  <si>
    <t>BAG#1 LOC</t>
  </si>
  <si>
    <t>BAG#2 LOC</t>
  </si>
  <si>
    <t>46</t>
  </si>
  <si>
    <t>MAX Va</t>
  </si>
  <si>
    <t>MIN Va</t>
  </si>
  <si>
    <t>Row No.</t>
  </si>
  <si>
    <t>Y</t>
  </si>
  <si>
    <t>X</t>
  </si>
  <si>
    <t>Cirrus</t>
  </si>
  <si>
    <t>Weight and Balance Graph Data</t>
  </si>
  <si>
    <t>From POH</t>
  </si>
  <si>
    <t>BEW*</t>
  </si>
  <si>
    <t>* BEW</t>
  </si>
  <si>
    <t>Basic Empty Weight; includes unusable fuel and full oil</t>
  </si>
  <si>
    <t>Weight Data Chart</t>
  </si>
  <si>
    <t>Piper Last Row Seats</t>
  </si>
  <si>
    <t>Empty Weight (lbs)</t>
  </si>
  <si>
    <t>Remaining Capacity (lbs) =</t>
  </si>
  <si>
    <t>Excess Weight (lbs) =</t>
  </si>
  <si>
    <t>Take off Weight (lbs) =</t>
  </si>
  <si>
    <t>Description</t>
  </si>
  <si>
    <t>Climb (Alt+5K)</t>
  </si>
  <si>
    <t>Total Gal =</t>
  </si>
  <si>
    <t>Weight (lbs) =</t>
  </si>
  <si>
    <t>sr20-Alt5000,800fpm,15gph  Piper-alt5000,1000fpm,20=gph</t>
  </si>
  <si>
    <t>sr20-9.5gph Piper-14.5gph</t>
  </si>
  <si>
    <t>UNSBL FUEL (gal)</t>
  </si>
  <si>
    <t>Max Oil (qt)</t>
  </si>
  <si>
    <t>MAA Oil (qt)</t>
  </si>
  <si>
    <t>MIN WGT (lbs)</t>
  </si>
  <si>
    <t>Flight (gal/hr)</t>
  </si>
  <si>
    <t>Start/Taxi/Runup (gal)</t>
  </si>
  <si>
    <t>Baggage #2 Max (lbs)</t>
  </si>
  <si>
    <t>Baggage #1 Max(lbs)</t>
  </si>
  <si>
    <t>Fuel Burned lbs (Start + Flight)</t>
  </si>
  <si>
    <t>Weight
(lbs)</t>
  </si>
  <si>
    <t>Arm
(in)</t>
  </si>
  <si>
    <t>Moment
(lbs-in)</t>
  </si>
  <si>
    <t>&lt;-Enter</t>
  </si>
  <si>
    <t>Landing Weight (lbs) =</t>
  </si>
  <si>
    <t>Cirrus Max Landing Limit</t>
  </si>
  <si>
    <t>Takeoff Weight &amp; Arm =</t>
  </si>
  <si>
    <t>Landing Weight &amp; Arm =</t>
  </si>
  <si>
    <t>Flight Time (Hrs) =</t>
  </si>
  <si>
    <t>Maneuvering Speed (Va) at Ramp Weight</t>
  </si>
  <si>
    <t>INPUT VALUES INTO CELLS SHADED BLUE</t>
  </si>
  <si>
    <t>BEW* From W&amp;B Sheet in Aircraft</t>
  </si>
  <si>
    <t>* BEW - Basic Empty Weight includes full Oil and Unusable Fuel.</t>
  </si>
  <si>
    <t>BEW LOC
(Same as CG)</t>
  </si>
  <si>
    <t>Enter Actual
Amount</t>
  </si>
  <si>
    <t>Max Useable Fuel (gal)</t>
  </si>
  <si>
    <t>REAR SEAT LOC</t>
  </si>
  <si>
    <t>initial Flight Chart</t>
  </si>
  <si>
    <r>
      <t>Take off Weight V</t>
    </r>
    <r>
      <rPr>
        <vertAlign val="subscript"/>
        <sz val="16"/>
        <color theme="1"/>
        <rFont val="Calibri"/>
        <family val="2"/>
        <scheme val="minor"/>
      </rPr>
      <t>a</t>
    </r>
  </si>
  <si>
    <t>DISCLAIMER -  THE PILOT IS RESPONSIBLE FOR VERIFYING WEIGHT AND BALANCE.</t>
  </si>
  <si>
    <t>Pilot/CoPilot
(lbs)</t>
  </si>
  <si>
    <t>Rear Passengers 
(lbs)</t>
  </si>
  <si>
    <t>Piper Last Row Seats 
(lbs)</t>
  </si>
  <si>
    <t>MAX
GROSS</t>
  </si>
  <si>
    <t>MAX
LOAD</t>
  </si>
  <si>
    <t>ESTIM.
CABIN</t>
  </si>
  <si>
    <t xml:space="preserve">SELECT --&gt;
MAA Aircraft </t>
  </si>
  <si>
    <t xml:space="preserve">Weight &amp; Balance </t>
  </si>
  <si>
    <t>Moment Envelope</t>
  </si>
  <si>
    <t>Cessna and Cirrus</t>
  </si>
  <si>
    <t>Cessna and Piper</t>
  </si>
  <si>
    <t>Center of Gravity Limits</t>
  </si>
  <si>
    <t>Cessna Utility Moment</t>
  </si>
  <si>
    <t>Envelope</t>
  </si>
  <si>
    <t>Cessna Utility Center of Gravity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</si>
</sst>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trike/>
      <sz val="12"/>
      <color theme="1"/>
      <name val="Calibri"/>
      <family val="2"/>
      <scheme val="minor"/>
    </font>
    <font>
      <b/>
      <strike/>
      <sz val="12"/>
      <color theme="1"/>
      <name val="Calibri"/>
      <family val="2"/>
    </font>
    <font>
      <sz val="10"/>
      <color rgb="FF000000"/>
      <name val="Tahoma"/>
      <family val="2"/>
    </font>
    <font>
      <sz val="10"/>
      <color rgb="FF00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vertAlign val="subscript"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Helvetica Neue Medium"/>
    </font>
    <font>
      <b/>
      <sz val="16"/>
      <color theme="1"/>
      <name val="Helvetica Neue Medium"/>
    </font>
    <font>
      <sz val="14"/>
      <color theme="1"/>
      <name val="Helvetica Neue"/>
      <family val="2"/>
    </font>
    <font>
      <b/>
      <sz val="16"/>
      <color theme="1"/>
      <name val="Helvetica Neue"/>
      <family val="2"/>
    </font>
    <font>
      <b/>
      <sz val="14"/>
      <color theme="1"/>
      <name val="Helvetica Neue"/>
      <family val="2"/>
    </font>
    <font>
      <b/>
      <sz val="12"/>
      <color theme="1"/>
      <name val="Helvetica Neue Medium"/>
    </font>
    <font>
      <sz val="14"/>
      <color theme="1"/>
      <name val="Helvetica Neue Medium"/>
    </font>
    <font>
      <sz val="12"/>
      <color theme="1"/>
      <name val="Helvetica Neue Medium"/>
    </font>
    <font>
      <b/>
      <sz val="20"/>
      <color theme="1"/>
      <name val="Helvetica Neue Medium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FFC000"/>
      </bottom>
      <diagonal/>
    </border>
    <border>
      <left style="medium">
        <color indexed="64"/>
      </left>
      <right style="medium">
        <color indexed="64"/>
      </right>
      <top style="thin">
        <color rgb="FFFFC000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0" borderId="0" xfId="0" applyNumberFormat="1"/>
    <xf numFmtId="0" fontId="1" fillId="4" borderId="1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1" fillId="0" borderId="0" xfId="0" applyFont="1"/>
    <xf numFmtId="0" fontId="5" fillId="0" borderId="0" xfId="0" applyFont="1"/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164" fontId="0" fillId="6" borderId="7" xfId="0" applyNumberFormat="1" applyFill="1" applyBorder="1" applyAlignment="1">
      <alignment horizontal="center"/>
    </xf>
    <xf numFmtId="164" fontId="0" fillId="7" borderId="7" xfId="0" applyNumberForma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" fontId="7" fillId="0" borderId="1" xfId="0" applyNumberFormat="1" applyFont="1" applyBorder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1" fillId="0" borderId="0" xfId="0" quotePrefix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4" borderId="11" xfId="0" applyFont="1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6" xfId="0" applyFill="1" applyBorder="1"/>
    <xf numFmtId="0" fontId="1" fillId="4" borderId="9" xfId="0" applyFont="1" applyFill="1" applyBorder="1" applyAlignment="1">
      <alignment vertical="center"/>
    </xf>
    <xf numFmtId="0" fontId="0" fillId="4" borderId="10" xfId="0" applyFill="1" applyBorder="1"/>
    <xf numFmtId="1" fontId="0" fillId="8" borderId="7" xfId="0" applyNumberFormat="1" applyFill="1" applyBorder="1" applyAlignment="1">
      <alignment horizontal="center"/>
    </xf>
    <xf numFmtId="1" fontId="0" fillId="8" borderId="1" xfId="0" applyNumberFormat="1" applyFill="1" applyBorder="1" applyAlignment="1">
      <alignment horizontal="center"/>
    </xf>
    <xf numFmtId="1" fontId="4" fillId="4" borderId="1" xfId="0" applyNumberFormat="1" applyFont="1" applyFill="1" applyBorder="1"/>
    <xf numFmtId="1" fontId="8" fillId="0" borderId="1" xfId="0" applyNumberFormat="1" applyFont="1" applyBorder="1"/>
    <xf numFmtId="1" fontId="0" fillId="6" borderId="7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" fontId="0" fillId="7" borderId="7" xfId="0" applyNumberFormat="1" applyFill="1" applyBorder="1" applyAlignment="1">
      <alignment horizontal="center"/>
    </xf>
    <xf numFmtId="1" fontId="0" fillId="7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0" fillId="0" borderId="0" xfId="0" applyNumberFormat="1"/>
    <xf numFmtId="1" fontId="7" fillId="0" borderId="0" xfId="0" applyNumberFormat="1" applyFont="1" applyAlignment="1">
      <alignment horizontal="right" vertical="center"/>
    </xf>
    <xf numFmtId="0" fontId="0" fillId="0" borderId="3" xfId="0" applyBorder="1"/>
    <xf numFmtId="0" fontId="0" fillId="0" borderId="12" xfId="0" applyBorder="1"/>
    <xf numFmtId="0" fontId="0" fillId="0" borderId="7" xfId="0" applyBorder="1"/>
    <xf numFmtId="0" fontId="0" fillId="9" borderId="1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3" xfId="0" applyBorder="1" applyAlignment="1">
      <alignment horizontal="center" vertical="center" wrapText="1"/>
    </xf>
    <xf numFmtId="1" fontId="4" fillId="4" borderId="7" xfId="0" applyNumberFormat="1" applyFont="1" applyFill="1" applyBorder="1"/>
    <xf numFmtId="0" fontId="16" fillId="2" borderId="16" xfId="0" applyFont="1" applyFill="1" applyBorder="1" applyAlignment="1" applyProtection="1">
      <alignment horizontal="center" vertical="center"/>
      <protection locked="0"/>
    </xf>
    <xf numFmtId="164" fontId="16" fillId="2" borderId="16" xfId="0" applyNumberFormat="1" applyFont="1" applyFill="1" applyBorder="1" applyProtection="1">
      <protection locked="0"/>
    </xf>
    <xf numFmtId="0" fontId="18" fillId="0" borderId="1" xfId="0" applyFont="1" applyBorder="1" applyAlignment="1">
      <alignment vertical="center"/>
    </xf>
    <xf numFmtId="0" fontId="19" fillId="4" borderId="1" xfId="0" applyFont="1" applyFill="1" applyBorder="1" applyAlignment="1">
      <alignment horizontal="center"/>
    </xf>
    <xf numFmtId="0" fontId="18" fillId="0" borderId="11" xfId="0" applyFont="1" applyBorder="1" applyAlignment="1">
      <alignment vertical="center" wrapText="1"/>
    </xf>
    <xf numFmtId="0" fontId="19" fillId="4" borderId="1" xfId="0" applyFont="1" applyFill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18" fillId="4" borderId="1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1" xfId="0" applyFont="1" applyBorder="1" applyAlignment="1">
      <alignment horizontal="center" vertical="center"/>
    </xf>
    <xf numFmtId="1" fontId="25" fillId="0" borderId="0" xfId="0" applyNumberFormat="1" applyFont="1"/>
    <xf numFmtId="0" fontId="25" fillId="0" borderId="0" xfId="0" applyFont="1"/>
    <xf numFmtId="164" fontId="24" fillId="0" borderId="1" xfId="0" applyNumberFormat="1" applyFont="1" applyBorder="1" applyAlignment="1">
      <alignment horizontal="center" vertical="center"/>
    </xf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4" fillId="3" borderId="13" xfId="0" applyFont="1" applyFill="1" applyBorder="1" applyAlignment="1">
      <alignment horizontal="center"/>
    </xf>
    <xf numFmtId="0" fontId="14" fillId="3" borderId="14" xfId="0" applyFont="1" applyFill="1" applyBorder="1" applyAlignment="1">
      <alignment horizontal="center"/>
    </xf>
    <xf numFmtId="0" fontId="14" fillId="3" borderId="15" xfId="0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0" xfId="0" applyFont="1" applyAlignment="1">
      <alignment horizontal="center"/>
    </xf>
    <xf numFmtId="49" fontId="17" fillId="2" borderId="17" xfId="0" quotePrefix="1" applyNumberFormat="1" applyFont="1" applyFill="1" applyBorder="1" applyAlignment="1" applyProtection="1">
      <alignment horizontal="center" vertical="center"/>
      <protection locked="0"/>
    </xf>
    <xf numFmtId="49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0" fontId="26" fillId="4" borderId="20" xfId="0" applyFont="1" applyFill="1" applyBorder="1" applyAlignment="1">
      <alignment horizontal="center" vertical="center" wrapText="1"/>
    </xf>
    <xf numFmtId="0" fontId="26" fillId="4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0" fillId="6" borderId="22" xfId="0" applyNumberFormat="1" applyFill="1" applyBorder="1" applyAlignment="1">
      <alignment horizontal="center"/>
    </xf>
    <xf numFmtId="164" fontId="0" fillId="6" borderId="6" xfId="0" applyNumberFormat="1" applyFill="1" applyBorder="1" applyAlignment="1">
      <alignment horizontal="center"/>
    </xf>
    <xf numFmtId="0" fontId="0" fillId="0" borderId="12" xfId="0" applyBorder="1" applyAlignment="1">
      <alignment wrapText="1"/>
    </xf>
  </cellXfs>
  <cellStyles count="3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  <dxf>
      <font>
        <b/>
        <i val="0"/>
        <color rgb="FF9C0006"/>
      </font>
      <fill>
        <patternFill>
          <bgColor rgb="FFFFC7CE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Cirrus W&amp;B</a:t>
            </a:r>
          </a:p>
          <a:p>
            <a:pPr>
              <a:defRPr/>
            </a:pPr>
            <a:r>
              <a:rPr lang="en-US" sz="1200" b="1" u="sng"/>
              <a:t>Center of Gravity Envelope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'MAA Weight and Balance'!$BE$35:$BE$42</c:f>
              <c:numCache>
                <c:formatCode>0.0</c:formatCode>
                <c:ptCount val="8"/>
                <c:pt idx="0">
                  <c:v>138.69999999999999</c:v>
                </c:pt>
                <c:pt idx="1">
                  <c:v>141</c:v>
                </c:pt>
                <c:pt idx="2">
                  <c:v>144.1</c:v>
                </c:pt>
                <c:pt idx="3">
                  <c:v>148</c:v>
                </c:pt>
                <c:pt idx="4">
                  <c:v>148.1</c:v>
                </c:pt>
                <c:pt idx="5">
                  <c:v>147.4</c:v>
                </c:pt>
                <c:pt idx="6">
                  <c:v>144.6</c:v>
                </c:pt>
                <c:pt idx="7">
                  <c:v>138.69999999999999</c:v>
                </c:pt>
              </c:numCache>
            </c:numRef>
          </c:xVal>
          <c:yVal>
            <c:numRef>
              <c:f>'MAA Weight and Balance'!$BF$35:$BF$42</c:f>
              <c:numCache>
                <c:formatCode>0</c:formatCode>
                <c:ptCount val="8"/>
                <c:pt idx="0">
                  <c:v>2110</c:v>
                </c:pt>
                <c:pt idx="1">
                  <c:v>2694</c:v>
                </c:pt>
                <c:pt idx="2">
                  <c:v>3000</c:v>
                </c:pt>
                <c:pt idx="3">
                  <c:v>3000</c:v>
                </c:pt>
                <c:pt idx="4">
                  <c:v>2900</c:v>
                </c:pt>
                <c:pt idx="5">
                  <c:v>2570</c:v>
                </c:pt>
                <c:pt idx="6">
                  <c:v>2110</c:v>
                </c:pt>
                <c:pt idx="7">
                  <c:v>2110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37B-AD4B-8D78-8783CE8C6A2E}"/>
            </c:ext>
          </c:extLst>
        </c:ser>
        <c:ser>
          <c:idx val="1"/>
          <c:order val="1"/>
          <c:tx>
            <c:v>Max Landing Wgt</c:v>
          </c:tx>
          <c:spPr>
            <a:ln w="25400" cap="rnd">
              <a:solidFill>
                <a:schemeClr val="accent2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'MAA Weight and Balance'!$BE$50:$BE$61</c:f>
              <c:numCache>
                <c:formatCode>0.0</c:formatCode>
                <c:ptCount val="12"/>
                <c:pt idx="10">
                  <c:v>148.1</c:v>
                </c:pt>
                <c:pt idx="11">
                  <c:v>143.1</c:v>
                </c:pt>
              </c:numCache>
            </c:numRef>
          </c:xVal>
          <c:yVal>
            <c:numRef>
              <c:f>'MAA Weight and Balance'!$BF$50:$BF$61</c:f>
              <c:numCache>
                <c:formatCode>0</c:formatCode>
                <c:ptCount val="12"/>
                <c:pt idx="10">
                  <c:v>2900</c:v>
                </c:pt>
                <c:pt idx="11">
                  <c:v>2900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37B-AD4B-8D78-8783CE8C6A2E}"/>
            </c:ext>
          </c:extLst>
        </c:ser>
        <c:ser>
          <c:idx val="2"/>
          <c:order val="2"/>
          <c:tx>
            <c:v>Takeoff W&amp;B</c:v>
          </c:tx>
          <c:spPr>
            <a:ln w="1270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 cap="rnd">
                <a:solidFill>
                  <a:schemeClr val="tx1"/>
                </a:solidFill>
              </a:ln>
              <a:effectLst/>
            </c:spPr>
          </c:marker>
          <c:xVal>
            <c:numRef>
              <c:f>'MAA Weight and Balance'!$BE$62</c:f>
              <c:numCache>
                <c:formatCode>0.0</c:formatCode>
                <c:ptCount val="1"/>
                <c:pt idx="0">
                  <c:v>40.039156040940014</c:v>
                </c:pt>
              </c:numCache>
            </c:numRef>
          </c:xVal>
          <c:yVal>
            <c:numRef>
              <c:f>'MAA Weight and Balance'!$BF$62</c:f>
              <c:numCache>
                <c:formatCode>0.0</c:formatCode>
                <c:ptCount val="1"/>
                <c:pt idx="0">
                  <c:v>2186.125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37B-AD4B-8D78-8783CE8C6A2E}"/>
            </c:ext>
          </c:extLst>
        </c:ser>
        <c:ser>
          <c:idx val="3"/>
          <c:order val="3"/>
          <c:tx>
            <c:v>Landing W&amp;B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7"/>
            <c:spPr>
              <a:noFill/>
              <a:ln w="38100">
                <a:solidFill>
                  <a:schemeClr val="accent4"/>
                </a:solidFill>
              </a:ln>
              <a:effectLst/>
            </c:spPr>
          </c:marker>
          <c:xVal>
            <c:numRef>
              <c:f>'MAA Weight and Balance'!$BE$63</c:f>
              <c:numCache>
                <c:formatCode>0.0</c:formatCode>
                <c:ptCount val="1"/>
                <c:pt idx="0">
                  <c:v>39.810506276399543</c:v>
                </c:pt>
              </c:numCache>
            </c:numRef>
          </c:xVal>
          <c:yVal>
            <c:numRef>
              <c:f>'MAA Weight and Balance'!$BF$63</c:f>
              <c:numCache>
                <c:formatCode>0.0</c:formatCode>
                <c:ptCount val="1"/>
                <c:pt idx="0">
                  <c:v>2101.125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37B-AD4B-8D78-8783CE8C6A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9484815"/>
        <c:axId val="1939486543"/>
      </c:scatterChart>
      <c:valAx>
        <c:axId val="1939484815"/>
        <c:scaling>
          <c:orientation val="minMax"/>
          <c:max val="150"/>
          <c:min val="13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t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CG AFT OF DATUM</a:t>
                </a:r>
              </a:p>
            </c:rich>
          </c:tx>
          <c:layout>
            <c:manualLayout>
              <c:xMode val="edge"/>
              <c:yMode val="edge"/>
              <c:x val="0.4144607051507096"/>
              <c:y val="0.778964552507859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t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9486543"/>
        <c:crossesAt val="0"/>
        <c:crossBetween val="midCat"/>
      </c:valAx>
      <c:valAx>
        <c:axId val="1939486543"/>
        <c:scaling>
          <c:orientation val="minMax"/>
          <c:max val="3200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1"/>
        <c:majorTickMark val="none"/>
        <c:minorTickMark val="in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/>
                </a:solidFill>
                <a:latin typeface="+mj-lt"/>
                <a:ea typeface="+mn-ea"/>
                <a:cs typeface="+mn-cs"/>
              </a:defRPr>
            </a:pPr>
            <a:endParaRPr lang="en-US"/>
          </a:p>
        </c:txPr>
        <c:crossAx val="1939484815"/>
        <c:crossesAt val="0"/>
        <c:crossBetween val="midCat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0190982496614684E-2"/>
          <c:y val="0.90112132677630175"/>
          <c:w val="0.9"/>
          <c:h val="3.984679601000288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Cessna W&amp;B</a:t>
            </a:r>
          </a:p>
          <a:p>
            <a:pPr>
              <a:defRPr/>
            </a:pPr>
            <a:r>
              <a:rPr lang="en-US" sz="1200" b="1" u="sng"/>
              <a:t>Moment Envelope</a:t>
            </a:r>
          </a:p>
        </c:rich>
      </c:tx>
      <c:layout>
        <c:manualLayout>
          <c:xMode val="edge"/>
          <c:yMode val="edge"/>
          <c:x val="0.355287673439797"/>
          <c:y val="2.19435736677115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237025998348671"/>
          <c:y val="0.16321328956137537"/>
          <c:w val="0.7796886642366635"/>
          <c:h val="0.63143583541085579"/>
        </c:manualLayout>
      </c:layout>
      <c:scatterChart>
        <c:scatterStyle val="lineMarker"/>
        <c:varyColors val="0"/>
        <c:ser>
          <c:idx val="0"/>
          <c:order val="0"/>
          <c:tx>
            <c:v>MOMENT NORM ENV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'MAA Weight and Balance'!$BC$35:$BC$39</c:f>
              <c:numCache>
                <c:formatCode>0.0</c:formatCode>
                <c:ptCount val="5"/>
                <c:pt idx="0">
                  <c:v>52.5</c:v>
                </c:pt>
                <c:pt idx="1">
                  <c:v>67.8</c:v>
                </c:pt>
                <c:pt idx="2">
                  <c:v>94.5</c:v>
                </c:pt>
                <c:pt idx="3">
                  <c:v>113.5</c:v>
                </c:pt>
                <c:pt idx="4">
                  <c:v>70</c:v>
                </c:pt>
              </c:numCache>
            </c:numRef>
          </c:xVal>
          <c:yVal>
            <c:numRef>
              <c:f>'MAA Weight and Balance'!$BD$35:$BD$39</c:f>
              <c:numCache>
                <c:formatCode>0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2400</c:v>
                </c:pt>
                <c:pt idx="3">
                  <c:v>2400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59-AF4E-A9C2-8FEA66D5FF6D}"/>
            </c:ext>
          </c:extLst>
        </c:ser>
        <c:ser>
          <c:idx val="1"/>
          <c:order val="1"/>
          <c:tx>
            <c:v>MOMENT UTILITY ENV</c:v>
          </c:tx>
          <c:spPr>
            <a:ln w="25400" cap="rnd">
              <a:solidFill>
                <a:srgbClr val="C00000"/>
              </a:solidFill>
              <a:prstDash val="lg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xVal>
            <c:numRef>
              <c:f>'MAA Weight and Balance'!$BC$50:$BC$54</c:f>
              <c:numCache>
                <c:formatCode>0.0</c:formatCode>
                <c:ptCount val="5"/>
                <c:pt idx="2">
                  <c:v>71</c:v>
                </c:pt>
                <c:pt idx="3">
                  <c:v>81.5</c:v>
                </c:pt>
                <c:pt idx="4">
                  <c:v>60.5</c:v>
                </c:pt>
              </c:numCache>
            </c:numRef>
          </c:xVal>
          <c:yVal>
            <c:numRef>
              <c:f>'MAA Weight and Balance'!$BD$50:$BD$54</c:f>
              <c:numCache>
                <c:formatCode>0</c:formatCode>
                <c:ptCount val="5"/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59-AF4E-A9C2-8FEA66D5FF6D}"/>
            </c:ext>
          </c:extLst>
        </c:ser>
        <c:ser>
          <c:idx val="2"/>
          <c:order val="2"/>
          <c:tx>
            <c:v>Takeoff W&amp;B</c:v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63500">
                <a:solidFill>
                  <a:schemeClr val="tx1"/>
                </a:solidFill>
              </a:ln>
              <a:effectLst/>
            </c:spPr>
          </c:marker>
          <c:xVal>
            <c:numRef>
              <c:f>'MAA Weight and Balance'!$BC$62</c:f>
              <c:numCache>
                <c:formatCode>0.0</c:formatCode>
                <c:ptCount val="1"/>
                <c:pt idx="0">
                  <c:v>87.530599999999993</c:v>
                </c:pt>
              </c:numCache>
            </c:numRef>
          </c:xVal>
          <c:yVal>
            <c:numRef>
              <c:f>'MAA Weight and Balance'!$BD$62</c:f>
              <c:numCache>
                <c:formatCode>0.0</c:formatCode>
                <c:ptCount val="1"/>
                <c:pt idx="0">
                  <c:v>2186.125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D59-AF4E-A9C2-8FEA66D5FF6D}"/>
            </c:ext>
          </c:extLst>
        </c:ser>
        <c:ser>
          <c:idx val="3"/>
          <c:order val="3"/>
          <c:tx>
            <c:v>Landing W&amp;B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7"/>
            <c:spPr>
              <a:noFill/>
              <a:ln w="38100">
                <a:solidFill>
                  <a:schemeClr val="accent4"/>
                </a:solidFill>
              </a:ln>
              <a:effectLst/>
            </c:spPr>
          </c:marker>
          <c:xVal>
            <c:numRef>
              <c:f>'MAA Weight and Balance'!$BC$63</c:f>
              <c:numCache>
                <c:formatCode>0.0</c:formatCode>
                <c:ptCount val="1"/>
                <c:pt idx="0">
                  <c:v>83.646849999999986</c:v>
                </c:pt>
              </c:numCache>
            </c:numRef>
          </c:xVal>
          <c:yVal>
            <c:numRef>
              <c:f>'MAA Weight and Balance'!$BD$63</c:f>
              <c:numCache>
                <c:formatCode>0.0</c:formatCode>
                <c:ptCount val="1"/>
                <c:pt idx="0">
                  <c:v>2101.125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D59-AF4E-A9C2-8FEA66D5FF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9484815"/>
        <c:axId val="1939486543"/>
      </c:scatterChart>
      <c:valAx>
        <c:axId val="1939484815"/>
        <c:scaling>
          <c:orientation val="minMax"/>
          <c:max val="115"/>
          <c:min val="4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t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chemeClr val="tx1"/>
                    </a:solidFill>
                  </a:rPr>
                  <a:t>LOADED AIRPLANE MOMENT/1000</a:t>
                </a:r>
              </a:p>
            </c:rich>
          </c:tx>
          <c:layout>
            <c:manualLayout>
              <c:xMode val="edge"/>
              <c:yMode val="edge"/>
              <c:x val="0.52464969692087726"/>
              <c:y val="0.710325821341297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t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9486543"/>
        <c:crossesAt val="1500"/>
        <c:crossBetween val="midCat"/>
      </c:valAx>
      <c:valAx>
        <c:axId val="1939486543"/>
        <c:scaling>
          <c:orientation val="minMax"/>
          <c:max val="241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1"/>
        <c:majorTickMark val="none"/>
        <c:minorTickMark val="in"/>
        <c:tickLblPos val="nextTo"/>
        <c:spPr>
          <a:solidFill>
            <a:schemeClr val="bg1"/>
          </a:solidFill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ln>
                  <a:solidFill>
                    <a:schemeClr val="tx1"/>
                  </a:solidFill>
                </a:ln>
                <a:solidFill>
                  <a:schemeClr val="tx1"/>
                </a:solidFill>
                <a:latin typeface="+mj-lt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939484815"/>
        <c:crossesAt val="0"/>
        <c:crossBetween val="midCat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125178726060778"/>
          <c:y val="0.85346728210697798"/>
          <c:w val="0.76726624645065145"/>
          <c:h val="0.111936662305926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sq" cmpd="sng" algn="ctr">
      <a:solidFill>
        <a:schemeClr val="accent6">
          <a:lumMod val="75000"/>
        </a:schemeClr>
      </a:solidFill>
      <a:miter lim="800000"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/>
              <a:t>Piper 6</a:t>
            </a:r>
            <a:r>
              <a:rPr lang="en-US" sz="2000" b="1" baseline="0"/>
              <a:t> </a:t>
            </a:r>
            <a:r>
              <a:rPr lang="en-US" sz="2000" b="1"/>
              <a:t>W&amp;B</a:t>
            </a:r>
          </a:p>
          <a:p>
            <a:pPr>
              <a:defRPr/>
            </a:pPr>
            <a:r>
              <a:rPr lang="en-US" sz="1200" b="1" u="sng"/>
              <a:t>Center of Gravity Envelope</a:t>
            </a:r>
          </a:p>
        </c:rich>
      </c:tx>
      <c:layout>
        <c:manualLayout>
          <c:xMode val="edge"/>
          <c:yMode val="edge"/>
          <c:x val="0.28932600406081316"/>
          <c:y val="2.66627782638281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Envelope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'MAA Weight and Balance'!$BG$43:$BG$49</c:f>
              <c:numCache>
                <c:formatCode>0</c:formatCode>
                <c:ptCount val="7"/>
                <c:pt idx="0">
                  <c:v>76</c:v>
                </c:pt>
                <c:pt idx="1">
                  <c:v>76</c:v>
                </c:pt>
                <c:pt idx="2">
                  <c:v>80</c:v>
                </c:pt>
                <c:pt idx="3">
                  <c:v>91</c:v>
                </c:pt>
                <c:pt idx="4">
                  <c:v>95.5</c:v>
                </c:pt>
                <c:pt idx="5">
                  <c:v>96.2</c:v>
                </c:pt>
                <c:pt idx="6">
                  <c:v>96.2</c:v>
                </c:pt>
              </c:numCache>
            </c:numRef>
          </c:xVal>
          <c:yVal>
            <c:numRef>
              <c:f>'MAA Weight and Balance'!$BH$43:$BH$49</c:f>
              <c:numCache>
                <c:formatCode>0</c:formatCode>
                <c:ptCount val="7"/>
                <c:pt idx="0">
                  <c:v>1400</c:v>
                </c:pt>
                <c:pt idx="1">
                  <c:v>2400</c:v>
                </c:pt>
                <c:pt idx="2">
                  <c:v>2900</c:v>
                </c:pt>
                <c:pt idx="3">
                  <c:v>3400</c:v>
                </c:pt>
                <c:pt idx="4">
                  <c:v>3400</c:v>
                </c:pt>
                <c:pt idx="5">
                  <c:v>3300</c:v>
                </c:pt>
                <c:pt idx="6">
                  <c:v>1400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47-3441-B088-5D37A0C56CBC}"/>
            </c:ext>
          </c:extLst>
        </c:ser>
        <c:ser>
          <c:idx val="1"/>
          <c:order val="1"/>
          <c:tx>
            <c:v>Takeoff W&amp;B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88900" cap="rnd">
                <a:solidFill>
                  <a:schemeClr val="tx1"/>
                </a:solidFill>
              </a:ln>
              <a:effectLst/>
            </c:spPr>
          </c:marker>
          <c:xVal>
            <c:numRef>
              <c:f>'MAA Weight and Balance'!$BG$62</c:f>
              <c:numCache>
                <c:formatCode>0.0</c:formatCode>
                <c:ptCount val="1"/>
                <c:pt idx="0">
                  <c:v>40.039156040940014</c:v>
                </c:pt>
              </c:numCache>
            </c:numRef>
          </c:xVal>
          <c:yVal>
            <c:numRef>
              <c:f>'MAA Weight and Balance'!$BH$62</c:f>
              <c:numCache>
                <c:formatCode>0.0</c:formatCode>
                <c:ptCount val="1"/>
                <c:pt idx="0">
                  <c:v>2186.125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47-3441-B088-5D37A0C56CBC}"/>
            </c:ext>
          </c:extLst>
        </c:ser>
        <c:ser>
          <c:idx val="2"/>
          <c:order val="2"/>
          <c:tx>
            <c:v>Landing W&amp;B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7"/>
            <c:spPr>
              <a:noFill/>
              <a:ln w="38100">
                <a:solidFill>
                  <a:srgbClr val="7030A0"/>
                </a:solidFill>
              </a:ln>
              <a:effectLst/>
            </c:spPr>
          </c:marker>
          <c:xVal>
            <c:numRef>
              <c:f>'MAA Weight and Balance'!$BG$63</c:f>
              <c:numCache>
                <c:formatCode>0.0</c:formatCode>
                <c:ptCount val="1"/>
                <c:pt idx="0">
                  <c:v>39.810506276399543</c:v>
                </c:pt>
              </c:numCache>
            </c:numRef>
          </c:xVal>
          <c:yVal>
            <c:numRef>
              <c:f>'MAA Weight and Balance'!$BH$63</c:f>
              <c:numCache>
                <c:formatCode>0.0</c:formatCode>
                <c:ptCount val="1"/>
                <c:pt idx="0">
                  <c:v>2101.125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47-3441-B088-5D37A0C56C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416288"/>
        <c:axId val="225418016"/>
      </c:scatterChart>
      <c:valAx>
        <c:axId val="225416288"/>
        <c:scaling>
          <c:orientation val="minMax"/>
          <c:max val="97"/>
          <c:min val="7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inorGridlines>
        <c:numFmt formatCode="0" sourceLinked="1"/>
        <c:majorTickMark val="none"/>
        <c:minorTickMark val="in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418016"/>
        <c:crosses val="autoZero"/>
        <c:crossBetween val="midCat"/>
        <c:majorUnit val="2"/>
        <c:minorUnit val="1"/>
      </c:valAx>
      <c:valAx>
        <c:axId val="225418016"/>
        <c:scaling>
          <c:orientation val="minMax"/>
          <c:max val="3410"/>
          <c:min val="14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604020202020204" pitchFamily="34" charset="0"/>
                <a:ea typeface="+mn-ea"/>
                <a:cs typeface="Arial Black" panose="020B0604020202020204" pitchFamily="34" charset="0"/>
              </a:defRPr>
            </a:pPr>
            <a:endParaRPr lang="en-US"/>
          </a:p>
        </c:txPr>
        <c:crossAx val="225416288"/>
        <c:crossesAt val="74"/>
        <c:crossBetween val="midCat"/>
        <c:majorUnit val="200"/>
        <c:minorUnit val="1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56912163088049"/>
          <c:y val="0.9236298133966131"/>
          <c:w val="0.65518283106177988"/>
          <c:h val="4.62332003020170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baseline="0"/>
              <a:t>Cessna </a:t>
            </a:r>
            <a:r>
              <a:rPr lang="en-US" sz="2000" b="1"/>
              <a:t>W&amp;B</a:t>
            </a:r>
          </a:p>
          <a:p>
            <a:pPr>
              <a:defRPr/>
            </a:pPr>
            <a:r>
              <a:rPr lang="en-US" sz="1200" b="1" u="sng"/>
              <a:t>Center of Gravity Envelope</a:t>
            </a:r>
          </a:p>
        </c:rich>
      </c:tx>
      <c:layout>
        <c:manualLayout>
          <c:xMode val="edge"/>
          <c:yMode val="edge"/>
          <c:x val="0.30679463259863604"/>
          <c:y val="2.10488783241717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CG NORM ENV</c:v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'MAA Weight and Balance'!$BC$43:$BC$47</c:f>
              <c:numCache>
                <c:formatCode>0.0</c:formatCode>
                <c:ptCount val="5"/>
                <c:pt idx="0">
                  <c:v>35</c:v>
                </c:pt>
                <c:pt idx="1">
                  <c:v>35</c:v>
                </c:pt>
                <c:pt idx="2">
                  <c:v>39.5</c:v>
                </c:pt>
                <c:pt idx="3">
                  <c:v>47.3</c:v>
                </c:pt>
                <c:pt idx="4">
                  <c:v>47.3</c:v>
                </c:pt>
              </c:numCache>
            </c:numRef>
          </c:xVal>
          <c:yVal>
            <c:numRef>
              <c:f>'MAA Weight and Balance'!$BD$43:$BD$47</c:f>
              <c:numCache>
                <c:formatCode>0</c:formatCode>
                <c:ptCount val="5"/>
                <c:pt idx="0">
                  <c:v>1500</c:v>
                </c:pt>
                <c:pt idx="1">
                  <c:v>1950</c:v>
                </c:pt>
                <c:pt idx="2">
                  <c:v>2400</c:v>
                </c:pt>
                <c:pt idx="3">
                  <c:v>2400</c:v>
                </c:pt>
                <c:pt idx="4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041-9945-9B3B-47F5BDD88DE2}"/>
            </c:ext>
          </c:extLst>
        </c:ser>
        <c:ser>
          <c:idx val="1"/>
          <c:order val="1"/>
          <c:tx>
            <c:v>CG UTILITY ENV</c:v>
          </c:tx>
          <c:spPr>
            <a:ln w="25400" cap="rnd">
              <a:solidFill>
                <a:schemeClr val="accent2"/>
              </a:solidFill>
              <a:prstDash val="lgDash"/>
              <a:round/>
            </a:ln>
            <a:effectLst/>
          </c:spPr>
          <c:marker>
            <c:symbol val="none"/>
          </c:marker>
          <c:xVal>
            <c:numRef>
              <c:f>'MAA Weight and Balance'!$BC$55:$BC$57</c:f>
              <c:numCache>
                <c:formatCode>0.0</c:formatCode>
                <c:ptCount val="3"/>
                <c:pt idx="0">
                  <c:v>35.6</c:v>
                </c:pt>
                <c:pt idx="1">
                  <c:v>40.5</c:v>
                </c:pt>
                <c:pt idx="2">
                  <c:v>40.5</c:v>
                </c:pt>
              </c:numCache>
            </c:numRef>
          </c:xVal>
          <c:yVal>
            <c:numRef>
              <c:f>'MAA Weight and Balance'!$BD$55:$BD$57</c:f>
              <c:numCache>
                <c:formatCode>0</c:formatCode>
                <c:ptCount val="3"/>
                <c:pt idx="0">
                  <c:v>2000</c:v>
                </c:pt>
                <c:pt idx="1">
                  <c:v>2000</c:v>
                </c:pt>
                <c:pt idx="2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041-9945-9B3B-47F5BDD88DE2}"/>
            </c:ext>
          </c:extLst>
        </c:ser>
        <c:ser>
          <c:idx val="2"/>
          <c:order val="2"/>
          <c:tx>
            <c:v>Takeoff W&amp;B</c:v>
          </c:tx>
          <c:spPr>
            <a:ln w="381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'MAA Weight and Balance'!$E$16</c:f>
              <c:numCache>
                <c:formatCode>0.00</c:formatCode>
                <c:ptCount val="1"/>
                <c:pt idx="0">
                  <c:v>40.039156040940014</c:v>
                </c:pt>
              </c:numCache>
            </c:numRef>
          </c:xVal>
          <c:yVal>
            <c:numRef>
              <c:f>'MAA Weight and Balance'!$C$16</c:f>
              <c:numCache>
                <c:formatCode>0</c:formatCode>
                <c:ptCount val="1"/>
                <c:pt idx="0">
                  <c:v>2186.125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041-9945-9B3B-47F5BDD88DE2}"/>
            </c:ext>
          </c:extLst>
        </c:ser>
        <c:ser>
          <c:idx val="3"/>
          <c:order val="3"/>
          <c:tx>
            <c:v>Landing W&amp;B</c:v>
          </c:tx>
          <c:spPr>
            <a:ln w="19050" cap="rnd">
              <a:noFill/>
              <a:round/>
            </a:ln>
            <a:effectLst/>
          </c:spPr>
          <c:marker>
            <c:symbol val="square"/>
            <c:size val="8"/>
            <c:spPr>
              <a:noFill/>
              <a:ln w="38100">
                <a:solidFill>
                  <a:srgbClr val="7030A0"/>
                </a:solidFill>
              </a:ln>
              <a:effectLst/>
            </c:spPr>
          </c:marker>
          <c:xVal>
            <c:numRef>
              <c:f>'MAA Weight and Balance'!$E$21</c:f>
              <c:numCache>
                <c:formatCode>0.00</c:formatCode>
                <c:ptCount val="1"/>
                <c:pt idx="0">
                  <c:v>39.810506276399543</c:v>
                </c:pt>
              </c:numCache>
            </c:numRef>
          </c:xVal>
          <c:yVal>
            <c:numRef>
              <c:f>'MAA Weight and Balance'!$C$21</c:f>
              <c:numCache>
                <c:formatCode>0</c:formatCode>
                <c:ptCount val="1"/>
                <c:pt idx="0">
                  <c:v>2101.125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041-9945-9B3B-47F5BDD88D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5416288"/>
        <c:axId val="225418016"/>
      </c:scatterChart>
      <c:valAx>
        <c:axId val="225416288"/>
        <c:scaling>
          <c:orientation val="minMax"/>
          <c:max val="48"/>
          <c:min val="34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inorGridlines>
        <c:numFmt formatCode="0" sourceLinked="0"/>
        <c:majorTickMark val="none"/>
        <c:minorTickMark val="in"/>
        <c:tickLblPos val="nextTo"/>
        <c:spPr>
          <a:solidFill>
            <a:schemeClr val="bg1"/>
          </a:solidFill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5418016"/>
        <c:crosses val="autoZero"/>
        <c:crossBetween val="midCat"/>
        <c:majorUnit val="1"/>
      </c:valAx>
      <c:valAx>
        <c:axId val="225418016"/>
        <c:scaling>
          <c:orientation val="minMax"/>
          <c:max val="2400"/>
          <c:min val="1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0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Black" panose="020B0604020202020204" pitchFamily="34" charset="0"/>
                <a:ea typeface="+mn-ea"/>
                <a:cs typeface="Arial Black" panose="020B0604020202020204" pitchFamily="34" charset="0"/>
              </a:defRPr>
            </a:pPr>
            <a:endParaRPr lang="en-US"/>
          </a:p>
        </c:txPr>
        <c:crossAx val="225416288"/>
        <c:crossesAt val="34"/>
        <c:crossBetween val="midCat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217956846303303"/>
          <c:y val="0.92362972317139613"/>
          <c:w val="0.79782040121869191"/>
          <c:h val="5.30664091516862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accent6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82550</xdr:colOff>
      <xdr:row>11</xdr:row>
      <xdr:rowOff>336550</xdr:rowOff>
    </xdr:from>
    <xdr:to>
      <xdr:col>14</xdr:col>
      <xdr:colOff>114300</xdr:colOff>
      <xdr:row>29</xdr:row>
      <xdr:rowOff>88900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83D6BCB-9F50-2A4B-9A47-028B3FD772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88900</xdr:colOff>
      <xdr:row>1</xdr:row>
      <xdr:rowOff>101600</xdr:rowOff>
    </xdr:from>
    <xdr:to>
      <xdr:col>14</xdr:col>
      <xdr:colOff>101600</xdr:colOff>
      <xdr:row>11</xdr:row>
      <xdr:rowOff>228600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E628891-3C39-B64F-A644-E1943DFE2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209550</xdr:colOff>
      <xdr:row>11</xdr:row>
      <xdr:rowOff>355600</xdr:rowOff>
    </xdr:from>
    <xdr:to>
      <xdr:col>21</xdr:col>
      <xdr:colOff>114300</xdr:colOff>
      <xdr:row>29</xdr:row>
      <xdr:rowOff>88900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631744B-EEDA-A04C-9535-6A6A7754B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58</xdr:col>
      <xdr:colOff>452884</xdr:colOff>
      <xdr:row>12</xdr:row>
      <xdr:rowOff>292100</xdr:rowOff>
    </xdr:from>
    <xdr:ext cx="4313859" cy="4991100"/>
    <xdr:pic>
      <xdr:nvPicPr>
        <xdr:cNvPr id="100" name="Picture 99">
          <a:extLst>
            <a:ext uri="{FF2B5EF4-FFF2-40B4-BE49-F238E27FC236}">
              <a16:creationId xmlns:a16="http://schemas.microsoft.com/office/drawing/2014/main" id="{FB67A0C0-79F5-2849-B44C-065D8384EF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465484" y="4978400"/>
          <a:ext cx="4313859" cy="4991100"/>
        </a:xfrm>
        <a:prstGeom prst="rect">
          <a:avLst/>
        </a:prstGeom>
      </xdr:spPr>
    </xdr:pic>
    <xdr:clientData/>
  </xdr:oneCellAnchor>
  <xdr:twoCellAnchor>
    <xdr:from>
      <xdr:col>16</xdr:col>
      <xdr:colOff>558800</xdr:colOff>
      <xdr:row>21</xdr:row>
      <xdr:rowOff>215900</xdr:rowOff>
    </xdr:from>
    <xdr:to>
      <xdr:col>18</xdr:col>
      <xdr:colOff>419100</xdr:colOff>
      <xdr:row>23</xdr:row>
      <xdr:rowOff>25400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F85DD5A6-FE04-75D9-0EC5-DB526BDC15A0}"/>
            </a:ext>
          </a:extLst>
        </xdr:cNvPr>
        <xdr:cNvSpPr txBox="1"/>
      </xdr:nvSpPr>
      <xdr:spPr>
        <a:xfrm>
          <a:off x="14097000" y="7696200"/>
          <a:ext cx="1511300" cy="254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/>
            <a:t>INCHES AFT OF DATUM</a:t>
          </a:r>
        </a:p>
      </xdr:txBody>
    </xdr:sp>
    <xdr:clientData/>
  </xdr:twoCellAnchor>
  <xdr:twoCellAnchor>
    <xdr:from>
      <xdr:col>14</xdr:col>
      <xdr:colOff>203200</xdr:colOff>
      <xdr:row>1</xdr:row>
      <xdr:rowOff>101600</xdr:rowOff>
    </xdr:from>
    <xdr:to>
      <xdr:col>21</xdr:col>
      <xdr:colOff>114300</xdr:colOff>
      <xdr:row>11</xdr:row>
      <xdr:rowOff>215900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A287D47-E555-3D4F-B030-91C06103E0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0.3728</cdr:x>
      <cdr:y>0.43961</cdr:y>
    </cdr:from>
    <cdr:to>
      <cdr:x>0.45464</cdr:x>
      <cdr:y>0.6701</cdr:y>
    </cdr:to>
    <cdr:sp macro="" textlink="">
      <cdr:nvSpPr>
        <cdr:cNvPr id="2" name="TextBox 7">
          <a:extLst xmlns:a="http://schemas.openxmlformats.org/drawingml/2006/main">
            <a:ext uri="{FF2B5EF4-FFF2-40B4-BE49-F238E27FC236}">
              <a16:creationId xmlns:a16="http://schemas.microsoft.com/office/drawing/2014/main" id="{1AD5D191-D13A-74A2-B24C-E6A67F42C2A3}"/>
            </a:ext>
          </a:extLst>
        </cdr:cNvPr>
        <cdr:cNvSpPr txBox="1"/>
      </cdr:nvSpPr>
      <cdr:spPr>
        <a:xfrm xmlns:a="http://schemas.openxmlformats.org/drawingml/2006/main" rot="18647800">
          <a:off x="1587500" y="2044700"/>
          <a:ext cx="933781" cy="406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/>
            <a:t>UTILITY</a:t>
          </a:r>
        </a:p>
        <a:p xmlns:a="http://schemas.openxmlformats.org/drawingml/2006/main">
          <a:pPr algn="ctr"/>
          <a:r>
            <a:rPr lang="en-US" sz="1000" b="1"/>
            <a:t>CATEGORY</a:t>
          </a:r>
        </a:p>
      </cdr:txBody>
    </cdr:sp>
  </cdr:relSizeAnchor>
  <cdr:relSizeAnchor xmlns:cdr="http://schemas.openxmlformats.org/drawingml/2006/chartDrawing">
    <cdr:from>
      <cdr:x>0.40093</cdr:x>
      <cdr:y>0.58068</cdr:y>
    </cdr:from>
    <cdr:to>
      <cdr:x>0.48277</cdr:x>
      <cdr:y>0.81117</cdr:y>
    </cdr:to>
    <cdr:sp macro="" textlink="">
      <cdr:nvSpPr>
        <cdr:cNvPr id="3" name="TextBox 7">
          <a:extLst xmlns:a="http://schemas.openxmlformats.org/drawingml/2006/main">
            <a:ext uri="{FF2B5EF4-FFF2-40B4-BE49-F238E27FC236}">
              <a16:creationId xmlns:a16="http://schemas.microsoft.com/office/drawing/2014/main" id="{0CC5D830-CE37-05D8-92BA-CFAF5D951AFF}"/>
            </a:ext>
          </a:extLst>
        </cdr:cNvPr>
        <cdr:cNvSpPr txBox="1"/>
      </cdr:nvSpPr>
      <cdr:spPr>
        <a:xfrm xmlns:a="http://schemas.openxmlformats.org/drawingml/2006/main" rot="18847725">
          <a:off x="1727200" y="2616201"/>
          <a:ext cx="933781" cy="406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/>
            <a:t>NORMAL</a:t>
          </a:r>
        </a:p>
        <a:p xmlns:a="http://schemas.openxmlformats.org/drawingml/2006/main">
          <a:pPr algn="ctr"/>
          <a:r>
            <a:rPr lang="en-US" sz="1000" b="1"/>
            <a:t>CATEGORY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0.53815</cdr:x>
      <cdr:y>0.77358</cdr:y>
    </cdr:from>
    <cdr:to>
      <cdr:x>0.85676</cdr:x>
      <cdr:y>0.83648</cdr:y>
    </cdr:to>
    <cdr:sp macro="" textlink="">
      <cdr:nvSpPr>
        <cdr:cNvPr id="2" name="TextBox 7">
          <a:extLst xmlns:a="http://schemas.openxmlformats.org/drawingml/2006/main">
            <a:ext uri="{FF2B5EF4-FFF2-40B4-BE49-F238E27FC236}">
              <a16:creationId xmlns:a16="http://schemas.microsoft.com/office/drawing/2014/main" id="{F85DD5A6-FE04-75D9-0EC5-DB526BDC15A0}"/>
            </a:ext>
          </a:extLst>
        </cdr:cNvPr>
        <cdr:cNvSpPr txBox="1"/>
      </cdr:nvSpPr>
      <cdr:spPr>
        <a:xfrm xmlns:a="http://schemas.openxmlformats.org/drawingml/2006/main">
          <a:off x="2552700" y="3124200"/>
          <a:ext cx="1511300" cy="25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/>
            <a:t>INCHES AFT OF DATUM</a:t>
          </a:r>
        </a:p>
      </cdr:txBody>
    </cdr:sp>
  </cdr:relSizeAnchor>
  <cdr:relSizeAnchor xmlns:cdr="http://schemas.openxmlformats.org/drawingml/2006/chartDrawing">
    <cdr:from>
      <cdr:x>0.56493</cdr:x>
      <cdr:y>0.64151</cdr:y>
    </cdr:from>
    <cdr:to>
      <cdr:x>0.74967</cdr:x>
      <cdr:y>0.74214</cdr:y>
    </cdr:to>
    <cdr:sp macro="" textlink="">
      <cdr:nvSpPr>
        <cdr:cNvPr id="3" name="TextBox 7">
          <a:extLst xmlns:a="http://schemas.openxmlformats.org/drawingml/2006/main">
            <a:ext uri="{FF2B5EF4-FFF2-40B4-BE49-F238E27FC236}">
              <a16:creationId xmlns:a16="http://schemas.microsoft.com/office/drawing/2014/main" id="{F8E3F448-3345-2D4E-CD58-5474D9EFFF9E}"/>
            </a:ext>
          </a:extLst>
        </cdr:cNvPr>
        <cdr:cNvSpPr txBox="1"/>
      </cdr:nvSpPr>
      <cdr:spPr>
        <a:xfrm xmlns:a="http://schemas.openxmlformats.org/drawingml/2006/main">
          <a:off x="2679700" y="2590800"/>
          <a:ext cx="876300" cy="406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/>
            <a:t>NORMAL</a:t>
          </a:r>
        </a:p>
        <a:p xmlns:a="http://schemas.openxmlformats.org/drawingml/2006/main">
          <a:pPr algn="ctr"/>
          <a:r>
            <a:rPr lang="en-US" sz="1000" b="1"/>
            <a:t>CATEGORY</a:t>
          </a:r>
        </a:p>
      </cdr:txBody>
    </cdr:sp>
  </cdr:relSizeAnchor>
  <cdr:relSizeAnchor xmlns:cdr="http://schemas.openxmlformats.org/drawingml/2006/chartDrawing">
    <cdr:from>
      <cdr:x>0.23829</cdr:x>
      <cdr:y>0.6478</cdr:y>
    </cdr:from>
    <cdr:to>
      <cdr:x>0.42303</cdr:x>
      <cdr:y>0.74843</cdr:y>
    </cdr:to>
    <cdr:sp macro="" textlink="">
      <cdr:nvSpPr>
        <cdr:cNvPr id="4" name="TextBox 7">
          <a:extLst xmlns:a="http://schemas.openxmlformats.org/drawingml/2006/main">
            <a:ext uri="{FF2B5EF4-FFF2-40B4-BE49-F238E27FC236}">
              <a16:creationId xmlns:a16="http://schemas.microsoft.com/office/drawing/2014/main" id="{DAE03CAA-70DE-D28B-69C8-78ADF1550ADF}"/>
            </a:ext>
          </a:extLst>
        </cdr:cNvPr>
        <cdr:cNvSpPr txBox="1"/>
      </cdr:nvSpPr>
      <cdr:spPr>
        <a:xfrm xmlns:a="http://schemas.openxmlformats.org/drawingml/2006/main">
          <a:off x="1130300" y="2616200"/>
          <a:ext cx="876300" cy="406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/>
            <a:t>UTILITY</a:t>
          </a:r>
        </a:p>
        <a:p xmlns:a="http://schemas.openxmlformats.org/drawingml/2006/main">
          <a:pPr algn="ctr"/>
          <a:r>
            <a:rPr lang="en-US" sz="1000" b="1"/>
            <a:t>CATEGORY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9F7B0-91EE-F446-97FF-C922F6CD0107}">
  <sheetPr>
    <pageSetUpPr fitToPage="1"/>
  </sheetPr>
  <dimension ref="B1:BK72"/>
  <sheetViews>
    <sheetView showGridLines="0" tabSelected="1" workbookViewId="0">
      <selection activeCell="C3" sqref="C3:C4"/>
    </sheetView>
  </sheetViews>
  <sheetFormatPr baseColWidth="10" defaultRowHeight="16" x14ac:dyDescent="0.2"/>
  <cols>
    <col min="1" max="1" width="3" customWidth="1"/>
    <col min="2" max="2" width="27" customWidth="1"/>
    <col min="3" max="3" width="15.6640625" customWidth="1"/>
    <col min="6" max="6" width="11.33203125" customWidth="1"/>
    <col min="7" max="7" width="1" customWidth="1"/>
    <col min="8" max="8" width="11.33203125" customWidth="1"/>
    <col min="9" max="10" width="10.83203125" customWidth="1"/>
    <col min="11" max="11" width="10.83203125" style="2" customWidth="1"/>
    <col min="12" max="12" width="10.83203125" customWidth="1"/>
    <col min="21" max="21" width="2.5" customWidth="1"/>
    <col min="23" max="23" width="26.83203125" customWidth="1"/>
    <col min="24" max="50" width="10.83203125" customWidth="1"/>
    <col min="54" max="54" width="26.83203125" bestFit="1" customWidth="1"/>
  </cols>
  <sheetData>
    <row r="1" spans="2:63" ht="25" thickBot="1" x14ac:dyDescent="0.35">
      <c r="B1" s="97" t="s">
        <v>71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9"/>
    </row>
    <row r="2" spans="2:63" ht="20" thickBot="1" x14ac:dyDescent="0.3">
      <c r="B2" s="94" t="s">
        <v>62</v>
      </c>
      <c r="K2"/>
      <c r="BA2" s="3" t="s">
        <v>22</v>
      </c>
      <c r="BB2" s="10" t="s">
        <v>31</v>
      </c>
    </row>
    <row r="3" spans="2:63" ht="28" customHeight="1" thickTop="1" x14ac:dyDescent="0.25">
      <c r="B3" s="106" t="s">
        <v>78</v>
      </c>
      <c r="C3" s="104" t="s">
        <v>9</v>
      </c>
      <c r="D3" s="108"/>
      <c r="E3" s="108"/>
      <c r="K3"/>
      <c r="BA3" s="13">
        <v>1</v>
      </c>
      <c r="BB3" s="31" t="s">
        <v>37</v>
      </c>
      <c r="BC3" s="5" t="s">
        <v>12</v>
      </c>
      <c r="BD3" s="5" t="s">
        <v>13</v>
      </c>
      <c r="BE3" s="6" t="s">
        <v>9</v>
      </c>
      <c r="BF3" s="5" t="s">
        <v>10</v>
      </c>
    </row>
    <row r="4" spans="2:63" ht="28" customHeight="1" thickBot="1" x14ac:dyDescent="0.25">
      <c r="B4" s="107"/>
      <c r="C4" s="105"/>
      <c r="D4" s="108"/>
      <c r="E4" s="108"/>
      <c r="K4"/>
      <c r="AD4" s="70"/>
      <c r="BA4" s="13">
        <v>2</v>
      </c>
      <c r="BB4" s="32" t="s">
        <v>28</v>
      </c>
      <c r="BC4" s="60">
        <v>2146.1</v>
      </c>
      <c r="BD4" s="60">
        <v>2097.0700000000002</v>
      </c>
      <c r="BE4" s="33">
        <v>1518</v>
      </c>
      <c r="BF4" s="33">
        <v>1456.5</v>
      </c>
    </row>
    <row r="5" spans="2:63" x14ac:dyDescent="0.2">
      <c r="K5"/>
      <c r="AD5" s="71"/>
      <c r="BA5" s="13">
        <v>3</v>
      </c>
      <c r="BB5" s="32" t="s">
        <v>2</v>
      </c>
      <c r="BC5" s="60">
        <v>302478.3</v>
      </c>
      <c r="BD5" s="60">
        <v>174401.14</v>
      </c>
      <c r="BE5" s="34">
        <v>59420.6</v>
      </c>
      <c r="BF5" s="33">
        <v>56831.55</v>
      </c>
    </row>
    <row r="6" spans="2:63" s="1" customFormat="1" ht="40" customHeight="1" x14ac:dyDescent="0.2">
      <c r="B6" s="78" t="s">
        <v>0</v>
      </c>
      <c r="C6" s="80" t="s">
        <v>66</v>
      </c>
      <c r="D6" s="80" t="s">
        <v>52</v>
      </c>
      <c r="E6" s="80" t="s">
        <v>53</v>
      </c>
      <c r="F6" s="80" t="s">
        <v>54</v>
      </c>
      <c r="G6" s="81"/>
      <c r="H6" s="82" t="s">
        <v>75</v>
      </c>
      <c r="I6" s="89"/>
      <c r="AD6" s="71"/>
      <c r="BA6" s="13">
        <v>4</v>
      </c>
      <c r="BB6" s="32" t="s">
        <v>7</v>
      </c>
      <c r="BC6" s="34">
        <f>BC5/BC4</f>
        <v>140.94324588788967</v>
      </c>
      <c r="BD6" s="34">
        <f>BD5/BD4</f>
        <v>83.164195758844485</v>
      </c>
      <c r="BE6" s="34">
        <f>BE5/BE4</f>
        <v>39.144005270092222</v>
      </c>
      <c r="BF6" s="34">
        <f>BF5/BF4</f>
        <v>39.019258496395473</v>
      </c>
      <c r="BG6"/>
      <c r="BH6"/>
      <c r="BI6"/>
      <c r="BJ6"/>
      <c r="BK6"/>
    </row>
    <row r="7" spans="2:63" ht="35" customHeight="1" thickBot="1" x14ac:dyDescent="0.25">
      <c r="B7" s="77" t="s">
        <v>33</v>
      </c>
      <c r="C7" s="73" t="s">
        <v>63</v>
      </c>
      <c r="D7" s="83">
        <f>HLOOKUP(C3,'MAA Weight and Balance'!BC3:BF23,2,FALSE)</f>
        <v>1518</v>
      </c>
      <c r="E7" s="84">
        <f>HLOOKUP(C$3,'MAA Weight and Balance'!BC$3:BF$23,6,FALSE)</f>
        <v>39.144005270092222</v>
      </c>
      <c r="F7" s="85">
        <f>IF(C7="","",D7*E7)</f>
        <v>59420.599999999991</v>
      </c>
      <c r="G7" s="28"/>
      <c r="H7" s="90">
        <f>HLOOKUP(C3,'MAA Weight and Balance'!BC3:BF7,5,FALSE)</f>
        <v>2400</v>
      </c>
      <c r="I7" s="9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AD7" s="72"/>
      <c r="BA7" s="14">
        <v>5</v>
      </c>
      <c r="BB7" s="32" t="s">
        <v>8</v>
      </c>
      <c r="BC7" s="27">
        <v>3000</v>
      </c>
      <c r="BD7" s="27">
        <v>3400</v>
      </c>
      <c r="BE7" s="27">
        <v>2400</v>
      </c>
      <c r="BF7" s="27">
        <v>2400</v>
      </c>
      <c r="BG7" s="1"/>
    </row>
    <row r="8" spans="2:63" ht="35" customHeight="1" thickTop="1" thickBot="1" x14ac:dyDescent="0.25">
      <c r="B8" s="79" t="str">
        <f>"MAA Max Oil for 
"&amp;HLOOKUP(C3,'MAA Weight and Balance'!BC3:BF29,1,FALSE)&amp;" = "&amp;HLOOKUP(C3,'MAA Weight and Balance'!BC3:BF29,18,FALSE)&amp;" Qt"</f>
        <v>MAA Max Oil for 
N341FC = 6 Qt</v>
      </c>
      <c r="C8" s="75">
        <v>6</v>
      </c>
      <c r="D8" s="86">
        <f>-1.875*(HLOOKUP(C3,'MAA Weight and Balance'!BC3:BF29,17,FALSE)-C8)</f>
        <v>-1.875</v>
      </c>
      <c r="E8" s="84">
        <f>HLOOKUP(C$3,'MAA Weight and Balance'!BC$3:BF$23,7,FALSE)</f>
        <v>-14</v>
      </c>
      <c r="F8" s="85">
        <f>IF(C8="","",D8*E8)</f>
        <v>26.25</v>
      </c>
      <c r="G8" s="56"/>
      <c r="H8" s="92"/>
      <c r="I8" s="91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AD8" s="71"/>
      <c r="BA8" s="13">
        <v>6</v>
      </c>
      <c r="BB8" s="61" t="s">
        <v>65</v>
      </c>
      <c r="BC8" s="17">
        <f>BC6</f>
        <v>140.94324588788967</v>
      </c>
      <c r="BD8" s="17">
        <f>BD6</f>
        <v>83.164195758844485</v>
      </c>
      <c r="BE8" s="17">
        <f>BE6</f>
        <v>39.144005270092222</v>
      </c>
      <c r="BF8" s="17">
        <f>BF6</f>
        <v>39.019258496395473</v>
      </c>
    </row>
    <row r="9" spans="2:63" ht="37" customHeight="1" thickTop="1" thickBot="1" x14ac:dyDescent="0.25">
      <c r="B9" s="79" t="str">
        <f>"Max Useable Fuel for 
"&amp;HLOOKUP(C3,'MAA Weight and Balance'!BC3:BF29,1,FALSE)&amp;" = "&amp;HLOOKUP(C3,'MAA Weight and Balance'!BC3:BF29,22,FALSE)&amp;" Gal"</f>
        <v>Max Useable Fuel for 
N341FC = 40 Gal</v>
      </c>
      <c r="C9" s="75">
        <v>40</v>
      </c>
      <c r="D9" s="86">
        <f>6*C9</f>
        <v>240</v>
      </c>
      <c r="E9" s="84" t="str">
        <f>HLOOKUP(C$3,'MAA Weight and Balance'!BC$3:BF$23,8,FALSE)</f>
        <v>46</v>
      </c>
      <c r="F9" s="85">
        <f>IF(C9="","",D9*E9)</f>
        <v>11040</v>
      </c>
      <c r="G9" s="28"/>
      <c r="H9" s="82" t="s">
        <v>76</v>
      </c>
      <c r="I9" s="9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AD9" s="72"/>
      <c r="BA9" s="13">
        <v>7</v>
      </c>
      <c r="BB9" s="32" t="s">
        <v>14</v>
      </c>
      <c r="BC9" s="27">
        <v>78.400000000000006</v>
      </c>
      <c r="BD9" s="27">
        <v>16.600000000000001</v>
      </c>
      <c r="BE9" s="27">
        <v>-14</v>
      </c>
      <c r="BF9" s="27">
        <v>-14</v>
      </c>
    </row>
    <row r="10" spans="2:63" ht="35" customHeight="1" thickTop="1" thickBot="1" x14ac:dyDescent="0.25">
      <c r="B10" s="79" t="s">
        <v>72</v>
      </c>
      <c r="C10" s="75">
        <v>410</v>
      </c>
      <c r="D10" s="87" t="s">
        <v>55</v>
      </c>
      <c r="E10" s="84">
        <f>HLOOKUP(C$3,'MAA Weight and Balance'!BC$3:BF$23,9,FALSE)</f>
        <v>37</v>
      </c>
      <c r="F10" s="85">
        <f>IF(C10="","",C10*E10)</f>
        <v>15170</v>
      </c>
      <c r="G10" s="28"/>
      <c r="H10" s="93">
        <f>H7-SUM(D7:D9)</f>
        <v>643.875</v>
      </c>
      <c r="I10" s="91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AD10" s="70"/>
      <c r="BA10" s="13">
        <v>8</v>
      </c>
      <c r="BB10" s="32" t="s">
        <v>15</v>
      </c>
      <c r="BC10" s="27">
        <v>153.80000000000001</v>
      </c>
      <c r="BD10" s="27">
        <v>95</v>
      </c>
      <c r="BE10" s="35" t="s">
        <v>19</v>
      </c>
      <c r="BF10" s="35" t="s">
        <v>19</v>
      </c>
    </row>
    <row r="11" spans="2:63" ht="35" customHeight="1" thickTop="1" thickBot="1" x14ac:dyDescent="0.25">
      <c r="B11" s="79" t="s">
        <v>73</v>
      </c>
      <c r="C11" s="75"/>
      <c r="D11" s="87" t="s">
        <v>55</v>
      </c>
      <c r="E11" s="84">
        <f>HLOOKUP(C$3,'MAA Weight and Balance'!BC$3:BF$23,10,FALSE)</f>
        <v>73</v>
      </c>
      <c r="F11" s="85" t="str">
        <f>IF(C11="","",C11*E11)</f>
        <v/>
      </c>
      <c r="G11" s="56"/>
      <c r="H11" s="92"/>
      <c r="I11" s="91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AD11" s="70"/>
      <c r="BA11" s="13">
        <v>9</v>
      </c>
      <c r="BB11" s="32" t="s">
        <v>16</v>
      </c>
      <c r="BC11" s="27">
        <v>143.5</v>
      </c>
      <c r="BD11" s="27">
        <v>85.5</v>
      </c>
      <c r="BE11" s="27">
        <v>37</v>
      </c>
      <c r="BF11" s="27">
        <v>37</v>
      </c>
    </row>
    <row r="12" spans="2:63" ht="35" customHeight="1" thickTop="1" thickBot="1" x14ac:dyDescent="0.25">
      <c r="B12" s="79" t="s">
        <v>74</v>
      </c>
      <c r="C12" s="75"/>
      <c r="D12" s="87" t="s">
        <v>55</v>
      </c>
      <c r="E12" s="84">
        <f>HLOOKUP(C$3,'MAA Weight and Balance'!BC$3:BF$23,11,FALSE)</f>
        <v>0</v>
      </c>
      <c r="F12" s="85" t="str">
        <f>IF(C12="","",C12*E12)</f>
        <v/>
      </c>
      <c r="G12" s="56"/>
      <c r="H12" s="92"/>
      <c r="I12" s="91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AD12" s="70"/>
      <c r="BA12" s="13">
        <v>10</v>
      </c>
      <c r="BB12" s="32" t="s">
        <v>68</v>
      </c>
      <c r="BC12" s="27">
        <v>180</v>
      </c>
      <c r="BD12" s="27">
        <v>118.1</v>
      </c>
      <c r="BE12" s="27">
        <v>73</v>
      </c>
      <c r="BF12" s="27">
        <v>73</v>
      </c>
    </row>
    <row r="13" spans="2:63" ht="35" customHeight="1" thickTop="1" thickBot="1" x14ac:dyDescent="0.25">
      <c r="B13" s="79" t="str">
        <f>"Baggage#1 (FWD)
"&amp;HLOOKUP(C$3,'MAA Weight and Balance'!BC$3:BF$29,14,FALSE)&amp;" lbs Max"</f>
        <v>Baggage#1 (FWD)
70 lbs Max</v>
      </c>
      <c r="C13" s="75">
        <v>20</v>
      </c>
      <c r="D13" s="88" t="str">
        <f>IF(C13&lt;=HLOOKUP(C$3,'MAA Weight and Balance'!BC$3:BF$25,14,FALSE),"&lt;-Enter","OVER-WEIGHT")</f>
        <v>&lt;-Enter</v>
      </c>
      <c r="E13" s="84">
        <f>HLOOKUP(C$3,'MAA Weight and Balance'!BC$3:BF$23,12,FALSE)</f>
        <v>95</v>
      </c>
      <c r="F13" s="85">
        <f>IF(C13="","",C13*E13)</f>
        <v>1900</v>
      </c>
      <c r="G13" s="28"/>
      <c r="H13" s="82" t="s">
        <v>77</v>
      </c>
      <c r="I13" s="91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AD13" s="70"/>
      <c r="BA13" s="13">
        <v>11</v>
      </c>
      <c r="BB13" s="32" t="s">
        <v>32</v>
      </c>
      <c r="BC13" s="27">
        <v>0</v>
      </c>
      <c r="BD13" s="27">
        <v>155.69999999999999</v>
      </c>
      <c r="BE13" s="27">
        <v>0</v>
      </c>
      <c r="BF13" s="27">
        <v>0</v>
      </c>
    </row>
    <row r="14" spans="2:63" ht="35" customHeight="1" thickTop="1" thickBot="1" x14ac:dyDescent="0.25">
      <c r="B14" s="79" t="str">
        <f>"Baggage#2 (AFT)              "
&amp;HLOOKUP(C$3,'MAA Weight and Balance'!BC$3:BF$29,15,FALSE)&amp;" lbs Max"</f>
        <v>Baggage#2 (AFT)              50 lbs Max</v>
      </c>
      <c r="C14" s="75">
        <v>0</v>
      </c>
      <c r="D14" s="88" t="str">
        <f>IF(C14&lt;=HLOOKUP(C$3,'MAA Weight and Balance'!BC$3:BF$25,15,FALSE),"&lt;-Enter","OVER-WEIGHT!")</f>
        <v>&lt;-Enter</v>
      </c>
      <c r="E14" s="84">
        <f>HLOOKUP(C$3,'MAA Weight and Balance'!BC$3:BF$24,13,FALSE)</f>
        <v>123</v>
      </c>
      <c r="F14" s="85" t="str">
        <f>IF(C14="","",IF(C14=0,"",C14*E14))</f>
        <v/>
      </c>
      <c r="G14" s="28"/>
      <c r="H14" s="93">
        <f>SUM(C10:C14)</f>
        <v>430</v>
      </c>
      <c r="I14" s="91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BA14" s="13">
        <v>12</v>
      </c>
      <c r="BB14" s="32" t="s">
        <v>17</v>
      </c>
      <c r="BC14" s="27">
        <v>208</v>
      </c>
      <c r="BD14" s="27">
        <v>42</v>
      </c>
      <c r="BE14" s="27">
        <v>95</v>
      </c>
      <c r="BF14" s="27">
        <v>95</v>
      </c>
    </row>
    <row r="15" spans="2:63" ht="17" thickTop="1" x14ac:dyDescent="0.2">
      <c r="C15" s="2"/>
      <c r="E15" s="7"/>
      <c r="F15" s="4"/>
      <c r="G15" s="4"/>
      <c r="K15"/>
      <c r="BA15" s="13">
        <v>13</v>
      </c>
      <c r="BB15" s="32" t="s">
        <v>18</v>
      </c>
      <c r="BC15" s="27"/>
      <c r="BD15" s="27">
        <v>178.7</v>
      </c>
      <c r="BE15" s="27">
        <v>123</v>
      </c>
      <c r="BF15" s="27">
        <v>123</v>
      </c>
    </row>
    <row r="16" spans="2:63" ht="21" x14ac:dyDescent="0.25">
      <c r="B16" s="11" t="s">
        <v>36</v>
      </c>
      <c r="C16" s="48">
        <f>SUM(C10:C14)+SUM(D7:D9)</f>
        <v>2186.125</v>
      </c>
      <c r="E16" s="17">
        <f>F16/C16</f>
        <v>40.039156040940014</v>
      </c>
      <c r="F16" s="13">
        <f>SUM(F7:F14)-F8</f>
        <v>87530.599999999991</v>
      </c>
      <c r="K16"/>
      <c r="BA16" s="13">
        <v>14</v>
      </c>
      <c r="BB16" s="36" t="s">
        <v>50</v>
      </c>
      <c r="BC16" s="27">
        <v>130</v>
      </c>
      <c r="BD16" s="27">
        <v>100</v>
      </c>
      <c r="BE16" s="27">
        <v>70</v>
      </c>
      <c r="BF16" s="27">
        <v>70</v>
      </c>
    </row>
    <row r="17" spans="2:59" ht="21" x14ac:dyDescent="0.25">
      <c r="B17" s="11" t="s">
        <v>34</v>
      </c>
      <c r="C17" s="49">
        <f>IF(C16&lt;=H7,H7-C16,"")</f>
        <v>213.875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BA17" s="13">
        <v>15</v>
      </c>
      <c r="BB17" s="36" t="s">
        <v>49</v>
      </c>
      <c r="BC17" s="27">
        <v>0</v>
      </c>
      <c r="BD17" s="27">
        <v>100</v>
      </c>
      <c r="BE17" s="27">
        <v>50</v>
      </c>
      <c r="BF17" s="27">
        <v>50</v>
      </c>
    </row>
    <row r="18" spans="2:59" ht="21" x14ac:dyDescent="0.25">
      <c r="B18" s="11" t="s">
        <v>35</v>
      </c>
      <c r="C18" s="49">
        <f>IF(C16&gt;H7,C16-H7,0)</f>
        <v>0</v>
      </c>
      <c r="D18" s="102" t="str">
        <f>IF(C18&gt;0+1,"  OVERWEIGHT!!","")</f>
        <v/>
      </c>
      <c r="E18" s="103"/>
      <c r="F18" s="54"/>
      <c r="G18" s="10"/>
      <c r="H18" s="10"/>
      <c r="K18"/>
      <c r="BA18" s="13">
        <v>16</v>
      </c>
      <c r="BB18" s="32" t="s">
        <v>43</v>
      </c>
      <c r="BC18" s="27">
        <v>4.5</v>
      </c>
      <c r="BD18" s="27">
        <v>0.4</v>
      </c>
      <c r="BE18" s="27">
        <v>3</v>
      </c>
      <c r="BF18" s="27">
        <v>3</v>
      </c>
    </row>
    <row r="19" spans="2:59" ht="20" thickBot="1" x14ac:dyDescent="0.3">
      <c r="B19" s="11"/>
      <c r="C19" s="4"/>
      <c r="D19" s="26"/>
      <c r="E19" s="10"/>
      <c r="F19" s="10"/>
      <c r="G19" s="10"/>
      <c r="H19" s="10"/>
      <c r="K19"/>
      <c r="BA19" s="13">
        <v>17</v>
      </c>
      <c r="BB19" s="32" t="s">
        <v>44</v>
      </c>
      <c r="BC19" s="27">
        <v>8</v>
      </c>
      <c r="BD19" s="27">
        <v>12</v>
      </c>
      <c r="BE19" s="27">
        <v>7</v>
      </c>
      <c r="BF19" s="27">
        <v>7</v>
      </c>
    </row>
    <row r="20" spans="2:59" ht="28" thickTop="1" thickBot="1" x14ac:dyDescent="0.35">
      <c r="B20" s="11" t="s">
        <v>60</v>
      </c>
      <c r="C20" s="76">
        <v>1.5</v>
      </c>
      <c r="D20" s="103" t="str">
        <f>IF(HLOOKUP(C3,'MAA Weight and Balance'!BB3:BF29,23,FALSE)+HLOOKUP(C3,'MAA Weight and Balance'!BB3:BF29,16,FALSE)*6&gt;D9,"FUEL EXHAUSTION!","")</f>
        <v/>
      </c>
      <c r="E20" s="103"/>
      <c r="F20" s="103"/>
      <c r="G20" s="103"/>
      <c r="H20" s="54"/>
      <c r="K20"/>
      <c r="BA20" s="13">
        <v>18</v>
      </c>
      <c r="BB20" s="32" t="s">
        <v>45</v>
      </c>
      <c r="BC20" s="27">
        <v>7</v>
      </c>
      <c r="BD20" s="27">
        <v>9</v>
      </c>
      <c r="BE20" s="27">
        <v>6</v>
      </c>
      <c r="BF20" s="27">
        <v>6</v>
      </c>
    </row>
    <row r="21" spans="2:59" ht="22" thickTop="1" x14ac:dyDescent="0.25">
      <c r="B21" s="11" t="s">
        <v>56</v>
      </c>
      <c r="C21" s="74">
        <f>C16-HLOOKUP(C3,'MAA Weight and Balance'!BC3:BF29,23,FALSE)</f>
        <v>2101.125</v>
      </c>
      <c r="E21" s="17">
        <f>F21/C21</f>
        <v>39.810506276399543</v>
      </c>
      <c r="F21" s="13">
        <f>SUM(F7:F14)-HLOOKUP(C3,'MAA Weight and Balance'!BB3:BF29,23,FALSE)*E9</f>
        <v>83646.849999999991</v>
      </c>
      <c r="K21"/>
      <c r="BA21" s="13">
        <v>19</v>
      </c>
      <c r="BB21" s="32" t="s">
        <v>46</v>
      </c>
      <c r="BC21" s="27">
        <v>2200</v>
      </c>
      <c r="BD21" s="27">
        <v>2400</v>
      </c>
      <c r="BE21" s="27">
        <v>1600</v>
      </c>
      <c r="BF21" s="27">
        <v>1600</v>
      </c>
    </row>
    <row r="22" spans="2:59" ht="19" x14ac:dyDescent="0.25">
      <c r="B22" s="11"/>
      <c r="F22" s="26"/>
      <c r="G22" s="26"/>
      <c r="H22" s="26"/>
      <c r="K22"/>
      <c r="BA22" s="13">
        <v>20</v>
      </c>
      <c r="BB22" s="32" t="s">
        <v>20</v>
      </c>
      <c r="BC22" s="27">
        <v>131</v>
      </c>
      <c r="BD22" s="27">
        <v>131</v>
      </c>
      <c r="BE22" s="27">
        <v>97</v>
      </c>
      <c r="BF22" s="27">
        <v>97</v>
      </c>
    </row>
    <row r="23" spans="2:59" x14ac:dyDescent="0.2">
      <c r="K23"/>
      <c r="BA23" s="13">
        <v>21</v>
      </c>
      <c r="BB23" s="32" t="s">
        <v>21</v>
      </c>
      <c r="BC23" s="27">
        <v>111</v>
      </c>
      <c r="BD23" s="27">
        <v>114</v>
      </c>
      <c r="BE23" s="27">
        <v>80</v>
      </c>
      <c r="BF23" s="27">
        <v>80</v>
      </c>
    </row>
    <row r="24" spans="2:59" ht="19" x14ac:dyDescent="0.25">
      <c r="B24" s="11" t="s">
        <v>61</v>
      </c>
      <c r="K24"/>
      <c r="BA24" s="13">
        <v>22</v>
      </c>
      <c r="BB24" s="36" t="s">
        <v>67</v>
      </c>
      <c r="BC24" s="27">
        <v>56</v>
      </c>
      <c r="BD24" s="27">
        <v>83.6</v>
      </c>
      <c r="BE24" s="27">
        <v>40</v>
      </c>
      <c r="BF24" s="27">
        <v>40</v>
      </c>
    </row>
    <row r="25" spans="2:59" ht="34" x14ac:dyDescent="0.2">
      <c r="B25" s="8" t="s">
        <v>4</v>
      </c>
      <c r="C25" s="9" t="s">
        <v>1</v>
      </c>
      <c r="D25" s="24" t="s">
        <v>3</v>
      </c>
      <c r="E25" s="25"/>
      <c r="K25"/>
      <c r="BA25" s="13">
        <v>23</v>
      </c>
      <c r="BB25" s="36" t="s">
        <v>51</v>
      </c>
      <c r="BC25" s="38">
        <f>BC71</f>
        <v>97.875</v>
      </c>
      <c r="BD25" s="38">
        <f>BD71</f>
        <v>143.5</v>
      </c>
      <c r="BE25" s="38">
        <f>$BE71</f>
        <v>85</v>
      </c>
      <c r="BF25" s="38">
        <f>$BE71</f>
        <v>85</v>
      </c>
    </row>
    <row r="26" spans="2:59" ht="21" x14ac:dyDescent="0.25">
      <c r="B26" s="62">
        <f>H7</f>
        <v>2400</v>
      </c>
      <c r="C26" s="62">
        <f>HLOOKUP(C3,'MAA Weight and Balance'!BB3:BF24,20,FALSE)</f>
        <v>97</v>
      </c>
      <c r="D26" s="63" t="s">
        <v>5</v>
      </c>
      <c r="E26" s="63"/>
      <c r="K26"/>
      <c r="BA26" s="13">
        <v>24</v>
      </c>
      <c r="BB26" s="36"/>
      <c r="BC26" s="27"/>
      <c r="BD26" s="27"/>
      <c r="BE26" s="27"/>
      <c r="BF26" s="27"/>
    </row>
    <row r="27" spans="2:59" ht="25" x14ac:dyDescent="0.35">
      <c r="B27" s="64">
        <f>C16</f>
        <v>2186.125</v>
      </c>
      <c r="C27" s="65">
        <f>C26-(C26-C28)*(B26-B27)/(B26-B28)</f>
        <v>92.455156250000002</v>
      </c>
      <c r="D27" s="66" t="s">
        <v>70</v>
      </c>
      <c r="E27" s="66"/>
      <c r="K27"/>
      <c r="BA27" s="13">
        <v>25</v>
      </c>
      <c r="BB27" s="36"/>
      <c r="BC27" s="27"/>
      <c r="BD27" s="27"/>
      <c r="BE27" s="27"/>
      <c r="BF27" s="27"/>
    </row>
    <row r="28" spans="2:59" ht="21" x14ac:dyDescent="0.25">
      <c r="B28" s="64">
        <f>HLOOKUP(C3,'MAA Weight and Balance'!BB3:BF24,19,FALSE)</f>
        <v>1600</v>
      </c>
      <c r="C28" s="67">
        <f>HLOOKUP(C3,'MAA Weight and Balance'!BB3:BF24,21,FALSE)</f>
        <v>80</v>
      </c>
      <c r="D28" s="68" t="s">
        <v>27</v>
      </c>
      <c r="E28" s="69"/>
      <c r="K28"/>
      <c r="BA28" s="13">
        <v>26</v>
      </c>
      <c r="BB28" s="36"/>
      <c r="BC28" s="27"/>
      <c r="BD28" s="27"/>
      <c r="BE28" s="27"/>
      <c r="BF28" s="27"/>
    </row>
    <row r="29" spans="2:59" x14ac:dyDescent="0.2">
      <c r="K29"/>
      <c r="BA29" s="13">
        <v>27</v>
      </c>
      <c r="BB29" s="36"/>
      <c r="BC29" s="27"/>
      <c r="BD29" s="27"/>
      <c r="BE29" s="27"/>
      <c r="BF29" s="27"/>
    </row>
    <row r="30" spans="2:59" ht="19" x14ac:dyDescent="0.25">
      <c r="B30" s="11" t="s">
        <v>64</v>
      </c>
      <c r="K30"/>
      <c r="BA30" s="29"/>
      <c r="BB30" s="1"/>
      <c r="BC30" s="2"/>
      <c r="BD30" s="2"/>
      <c r="BE30" s="2"/>
      <c r="BF30" s="2"/>
      <c r="BG30" s="2"/>
    </row>
    <row r="31" spans="2:59" x14ac:dyDescent="0.2">
      <c r="K31"/>
      <c r="BA31" s="2"/>
      <c r="BB31" s="30" t="s">
        <v>29</v>
      </c>
      <c r="BC31" t="s">
        <v>30</v>
      </c>
    </row>
    <row r="32" spans="2:59" ht="19" x14ac:dyDescent="0.25">
      <c r="K32"/>
      <c r="BA32" s="2"/>
      <c r="BC32" s="11" t="s">
        <v>26</v>
      </c>
    </row>
    <row r="33" spans="11:60" ht="19" x14ac:dyDescent="0.25">
      <c r="K33"/>
      <c r="BA33" s="2"/>
      <c r="BC33" s="95" t="s">
        <v>6</v>
      </c>
      <c r="BD33" s="96"/>
      <c r="BE33" s="95" t="s">
        <v>25</v>
      </c>
      <c r="BF33" s="96"/>
      <c r="BG33" s="95" t="s">
        <v>11</v>
      </c>
      <c r="BH33" s="96"/>
    </row>
    <row r="34" spans="11:60" ht="17" thickBot="1" x14ac:dyDescent="0.25">
      <c r="K34"/>
      <c r="R34" s="55"/>
      <c r="BA34" s="2"/>
      <c r="BC34" s="20" t="s">
        <v>24</v>
      </c>
      <c r="BD34" s="20" t="s">
        <v>23</v>
      </c>
      <c r="BE34" s="21" t="s">
        <v>24</v>
      </c>
      <c r="BF34" s="21" t="s">
        <v>23</v>
      </c>
      <c r="BG34" s="22" t="s">
        <v>24</v>
      </c>
      <c r="BH34" s="22" t="s">
        <v>23</v>
      </c>
    </row>
    <row r="35" spans="11:60" ht="17" thickTop="1" x14ac:dyDescent="0.2">
      <c r="K35"/>
      <c r="BA35" s="2"/>
      <c r="BB35" s="57" t="s">
        <v>81</v>
      </c>
      <c r="BC35" s="109">
        <v>52.5</v>
      </c>
      <c r="BD35" s="50">
        <v>1500</v>
      </c>
      <c r="BE35" s="19">
        <v>138.69999999999999</v>
      </c>
      <c r="BF35" s="52">
        <v>2110</v>
      </c>
      <c r="BG35" s="23"/>
      <c r="BH35" s="23"/>
    </row>
    <row r="36" spans="11:60" ht="17" x14ac:dyDescent="0.2">
      <c r="K36"/>
      <c r="BA36" s="2"/>
      <c r="BB36" s="111" t="s">
        <v>79</v>
      </c>
      <c r="BC36" s="110">
        <v>67.8</v>
      </c>
      <c r="BD36" s="51">
        <v>1950</v>
      </c>
      <c r="BE36" s="16">
        <v>141</v>
      </c>
      <c r="BF36" s="53">
        <v>2694</v>
      </c>
      <c r="BG36" s="23"/>
      <c r="BH36" s="23"/>
    </row>
    <row r="37" spans="11:60" x14ac:dyDescent="0.2">
      <c r="K37"/>
      <c r="BA37" s="2"/>
      <c r="BB37" s="58" t="s">
        <v>80</v>
      </c>
      <c r="BC37" s="110">
        <v>94.5</v>
      </c>
      <c r="BD37" s="51">
        <v>2400</v>
      </c>
      <c r="BE37" s="16">
        <v>144.1</v>
      </c>
      <c r="BF37" s="53">
        <v>3000</v>
      </c>
      <c r="BG37" s="23"/>
      <c r="BH37" s="23"/>
    </row>
    <row r="38" spans="11:60" x14ac:dyDescent="0.2">
      <c r="K38"/>
      <c r="BA38" s="2"/>
      <c r="BB38" s="111"/>
      <c r="BC38" s="110">
        <v>113.5</v>
      </c>
      <c r="BD38" s="51">
        <v>2400</v>
      </c>
      <c r="BE38" s="16">
        <v>148</v>
      </c>
      <c r="BF38" s="53">
        <v>3000</v>
      </c>
      <c r="BG38" s="23"/>
      <c r="BH38" s="23"/>
    </row>
    <row r="39" spans="11:60" x14ac:dyDescent="0.2">
      <c r="K39"/>
      <c r="BA39" s="2"/>
      <c r="BB39" s="58"/>
      <c r="BC39" s="110">
        <v>70</v>
      </c>
      <c r="BD39" s="51">
        <v>1500</v>
      </c>
      <c r="BE39" s="16">
        <v>148.1</v>
      </c>
      <c r="BF39" s="53">
        <v>2900</v>
      </c>
      <c r="BG39" s="23"/>
      <c r="BH39" s="23"/>
    </row>
    <row r="40" spans="11:60" x14ac:dyDescent="0.2">
      <c r="K40"/>
      <c r="BA40" s="2"/>
      <c r="BB40" s="58"/>
      <c r="BC40" s="110"/>
      <c r="BD40" s="51"/>
      <c r="BE40" s="16">
        <v>147.4</v>
      </c>
      <c r="BF40" s="53">
        <v>2570</v>
      </c>
      <c r="BG40" s="23"/>
      <c r="BH40" s="23"/>
    </row>
    <row r="41" spans="11:60" x14ac:dyDescent="0.2">
      <c r="K41"/>
      <c r="BA41" s="2"/>
      <c r="BB41" s="58"/>
      <c r="BC41" s="110"/>
      <c r="BD41" s="51"/>
      <c r="BE41" s="16">
        <v>144.6</v>
      </c>
      <c r="BF41" s="53">
        <v>2110</v>
      </c>
      <c r="BG41" s="23"/>
      <c r="BH41" s="23"/>
    </row>
    <row r="42" spans="11:60" x14ac:dyDescent="0.2">
      <c r="K42"/>
      <c r="BA42" s="2"/>
      <c r="BB42" s="59"/>
      <c r="BC42" s="110"/>
      <c r="BD42" s="51"/>
      <c r="BE42" s="16">
        <v>138.69999999999999</v>
      </c>
      <c r="BF42" s="53">
        <v>2110</v>
      </c>
      <c r="BG42" s="23"/>
      <c r="BH42" s="23"/>
    </row>
    <row r="43" spans="11:60" ht="17" x14ac:dyDescent="0.2">
      <c r="K43"/>
      <c r="BA43" s="2"/>
      <c r="BB43" s="111" t="s">
        <v>82</v>
      </c>
      <c r="BC43" s="18">
        <v>35</v>
      </c>
      <c r="BD43" s="50">
        <v>1500</v>
      </c>
      <c r="BE43" s="16"/>
      <c r="BF43" s="53"/>
      <c r="BG43" s="46">
        <v>76</v>
      </c>
      <c r="BH43" s="46">
        <v>1400</v>
      </c>
    </row>
    <row r="44" spans="11:60" ht="17" x14ac:dyDescent="0.2">
      <c r="K44"/>
      <c r="BA44" s="2"/>
      <c r="BB44" s="111" t="s">
        <v>79</v>
      </c>
      <c r="BC44" s="18">
        <v>35</v>
      </c>
      <c r="BD44" s="50">
        <v>1950</v>
      </c>
      <c r="BE44" s="16"/>
      <c r="BF44" s="53"/>
      <c r="BG44" s="47">
        <v>76</v>
      </c>
      <c r="BH44" s="47">
        <v>2400</v>
      </c>
    </row>
    <row r="45" spans="11:60" x14ac:dyDescent="0.2">
      <c r="K45"/>
      <c r="BA45" s="2"/>
      <c r="BB45" s="58" t="s">
        <v>83</v>
      </c>
      <c r="BC45" s="18">
        <v>39.5</v>
      </c>
      <c r="BD45" s="50">
        <v>2400</v>
      </c>
      <c r="BE45" s="16"/>
      <c r="BF45" s="53"/>
      <c r="BG45" s="47">
        <v>80</v>
      </c>
      <c r="BH45" s="47">
        <v>2900</v>
      </c>
    </row>
    <row r="46" spans="11:60" x14ac:dyDescent="0.2">
      <c r="K46"/>
      <c r="BA46" s="2"/>
      <c r="BB46" s="58"/>
      <c r="BC46" s="18">
        <v>47.3</v>
      </c>
      <c r="BD46" s="50">
        <v>2400</v>
      </c>
      <c r="BE46" s="16"/>
      <c r="BF46" s="53"/>
      <c r="BG46" s="47">
        <v>91</v>
      </c>
      <c r="BH46" s="47">
        <v>3400</v>
      </c>
    </row>
    <row r="47" spans="11:60" x14ac:dyDescent="0.2">
      <c r="K47"/>
      <c r="BA47" s="2"/>
      <c r="BB47" s="58"/>
      <c r="BC47" s="18">
        <v>47.3</v>
      </c>
      <c r="BD47" s="50">
        <v>1500</v>
      </c>
      <c r="BE47" s="16"/>
      <c r="BF47" s="53"/>
      <c r="BG47" s="47">
        <v>95.5</v>
      </c>
      <c r="BH47" s="47">
        <v>3400</v>
      </c>
    </row>
    <row r="48" spans="11:60" x14ac:dyDescent="0.2">
      <c r="K48"/>
      <c r="BA48" s="2"/>
      <c r="BB48" s="58"/>
      <c r="BC48" s="18"/>
      <c r="BD48" s="50"/>
      <c r="BE48" s="16"/>
      <c r="BF48" s="53"/>
      <c r="BG48" s="47">
        <v>96.2</v>
      </c>
      <c r="BH48" s="47">
        <v>3300</v>
      </c>
    </row>
    <row r="49" spans="11:60" x14ac:dyDescent="0.2">
      <c r="K49"/>
      <c r="BA49" s="2"/>
      <c r="BB49" s="58"/>
      <c r="BC49" s="18"/>
      <c r="BD49" s="50"/>
      <c r="BE49" s="16"/>
      <c r="BF49" s="53"/>
      <c r="BG49" s="47">
        <v>96.2</v>
      </c>
      <c r="BH49" s="47">
        <v>1400</v>
      </c>
    </row>
    <row r="50" spans="11:60" x14ac:dyDescent="0.2">
      <c r="K50"/>
      <c r="BA50" s="2"/>
      <c r="BB50" s="57" t="s">
        <v>84</v>
      </c>
      <c r="BC50" s="18"/>
      <c r="BD50" s="50"/>
      <c r="BE50" s="16"/>
      <c r="BF50" s="53"/>
      <c r="BG50" s="23"/>
      <c r="BH50" s="23"/>
    </row>
    <row r="51" spans="11:60" x14ac:dyDescent="0.2">
      <c r="K51"/>
      <c r="BA51" s="2"/>
      <c r="BB51" s="58" t="s">
        <v>85</v>
      </c>
      <c r="BC51" s="15"/>
      <c r="BD51" s="51"/>
      <c r="BE51" s="16"/>
      <c r="BF51" s="53"/>
      <c r="BG51" s="23"/>
      <c r="BH51" s="23"/>
    </row>
    <row r="52" spans="11:60" x14ac:dyDescent="0.2">
      <c r="K52"/>
      <c r="BA52" s="2"/>
      <c r="BB52" s="58"/>
      <c r="BC52" s="15">
        <v>71</v>
      </c>
      <c r="BD52" s="51">
        <v>2000</v>
      </c>
      <c r="BE52" s="16"/>
      <c r="BF52" s="53"/>
      <c r="BG52" s="23"/>
      <c r="BH52" s="23"/>
    </row>
    <row r="53" spans="11:60" x14ac:dyDescent="0.2">
      <c r="K53"/>
      <c r="BA53" s="2"/>
      <c r="BB53" s="58"/>
      <c r="BC53" s="15">
        <v>81.5</v>
      </c>
      <c r="BD53" s="51">
        <v>2000</v>
      </c>
      <c r="BE53" s="16"/>
      <c r="BF53" s="53"/>
      <c r="BG53" s="23"/>
      <c r="BH53" s="23"/>
    </row>
    <row r="54" spans="11:60" x14ac:dyDescent="0.2">
      <c r="K54"/>
      <c r="BA54" s="2"/>
      <c r="BB54" s="59"/>
      <c r="BC54" s="15">
        <v>60.5</v>
      </c>
      <c r="BD54" s="51">
        <v>1500</v>
      </c>
      <c r="BE54" s="16"/>
      <c r="BF54" s="53"/>
      <c r="BG54" s="23"/>
      <c r="BH54" s="23"/>
    </row>
    <row r="55" spans="11:60" x14ac:dyDescent="0.2">
      <c r="K55"/>
      <c r="BA55" s="2"/>
      <c r="BB55" s="57" t="s">
        <v>86</v>
      </c>
      <c r="BC55" s="18">
        <v>35.6</v>
      </c>
      <c r="BD55" s="50">
        <v>2000</v>
      </c>
      <c r="BE55" s="16"/>
      <c r="BF55" s="53"/>
      <c r="BG55" s="23"/>
      <c r="BH55" s="23"/>
    </row>
    <row r="56" spans="11:60" x14ac:dyDescent="0.2">
      <c r="K56"/>
      <c r="BA56" s="2"/>
      <c r="BB56" s="58" t="s">
        <v>85</v>
      </c>
      <c r="BC56" s="18">
        <v>40.5</v>
      </c>
      <c r="BD56" s="50">
        <v>2000</v>
      </c>
      <c r="BE56" s="16"/>
      <c r="BF56" s="53"/>
      <c r="BG56" s="23"/>
      <c r="BH56" s="23"/>
    </row>
    <row r="57" spans="11:60" x14ac:dyDescent="0.2">
      <c r="K57"/>
      <c r="BA57" s="2"/>
      <c r="BB57" s="58"/>
      <c r="BC57" s="18">
        <v>40.5</v>
      </c>
      <c r="BD57" s="50">
        <v>1500</v>
      </c>
      <c r="BE57" s="16"/>
      <c r="BF57" s="53"/>
      <c r="BG57" s="23"/>
      <c r="BH57" s="23"/>
    </row>
    <row r="58" spans="11:60" x14ac:dyDescent="0.2">
      <c r="K58"/>
      <c r="BA58" s="2"/>
      <c r="BB58" s="58"/>
      <c r="BC58" s="18"/>
      <c r="BD58" s="50"/>
      <c r="BE58" s="16"/>
      <c r="BF58" s="53"/>
      <c r="BG58" s="23"/>
      <c r="BH58" s="23"/>
    </row>
    <row r="59" spans="11:60" x14ac:dyDescent="0.2">
      <c r="K59"/>
      <c r="BA59" s="2"/>
      <c r="BB59" s="58"/>
      <c r="BC59" s="18"/>
      <c r="BD59" s="50"/>
      <c r="BE59" s="16"/>
      <c r="BF59" s="53"/>
      <c r="BG59" s="23"/>
      <c r="BH59" s="23"/>
    </row>
    <row r="60" spans="11:60" x14ac:dyDescent="0.2">
      <c r="K60"/>
      <c r="V60" s="2"/>
      <c r="BA60" s="2"/>
      <c r="BB60" s="57" t="s">
        <v>57</v>
      </c>
      <c r="BC60" s="18"/>
      <c r="BD60" s="50"/>
      <c r="BE60" s="16">
        <v>148.1</v>
      </c>
      <c r="BF60" s="53">
        <v>2900</v>
      </c>
      <c r="BG60" s="23"/>
      <c r="BH60" s="23"/>
    </row>
    <row r="61" spans="11:60" x14ac:dyDescent="0.2">
      <c r="K61"/>
      <c r="V61" s="2"/>
      <c r="BA61" s="2"/>
      <c r="BB61" s="59"/>
      <c r="BC61" s="18"/>
      <c r="BD61" s="50"/>
      <c r="BE61" s="16">
        <v>143.1</v>
      </c>
      <c r="BF61" s="53">
        <v>2900</v>
      </c>
      <c r="BG61" s="23"/>
      <c r="BH61" s="23"/>
    </row>
    <row r="62" spans="11:60" x14ac:dyDescent="0.2">
      <c r="K62"/>
      <c r="V62" s="2"/>
      <c r="BA62" s="2"/>
      <c r="BB62" s="57" t="s">
        <v>58</v>
      </c>
      <c r="BC62" s="15">
        <f>'MAA Weight and Balance'!F16/1000</f>
        <v>87.530599999999993</v>
      </c>
      <c r="BD62" s="15">
        <f>'MAA Weight and Balance'!C16</f>
        <v>2186.125</v>
      </c>
      <c r="BE62" s="16">
        <f>'MAA Weight and Balance'!E16</f>
        <v>40.039156040940014</v>
      </c>
      <c r="BF62" s="16">
        <f>'MAA Weight and Balance'!C16</f>
        <v>2186.125</v>
      </c>
      <c r="BG62" s="23">
        <f>'MAA Weight and Balance'!E16</f>
        <v>40.039156040940014</v>
      </c>
      <c r="BH62" s="23">
        <f>'MAA Weight and Balance'!C16</f>
        <v>2186.125</v>
      </c>
    </row>
    <row r="63" spans="11:60" x14ac:dyDescent="0.2">
      <c r="K63"/>
      <c r="V63" s="2"/>
      <c r="BA63" s="2"/>
      <c r="BB63" s="59" t="s">
        <v>59</v>
      </c>
      <c r="BC63" s="15">
        <f>'MAA Weight and Balance'!F21/1000</f>
        <v>83.646849999999986</v>
      </c>
      <c r="BD63" s="15">
        <f>'MAA Weight and Balance'!C21</f>
        <v>2101.125</v>
      </c>
      <c r="BE63" s="16">
        <f>'MAA Weight and Balance'!E21</f>
        <v>39.810506276399543</v>
      </c>
      <c r="BF63" s="16">
        <f>'MAA Weight and Balance'!C21</f>
        <v>2101.125</v>
      </c>
      <c r="BG63" s="23">
        <f>'MAA Weight and Balance'!E21</f>
        <v>39.810506276399543</v>
      </c>
      <c r="BH63" s="23">
        <f>'MAA Weight and Balance'!C21</f>
        <v>2101.125</v>
      </c>
    </row>
    <row r="64" spans="11:60" x14ac:dyDescent="0.2">
      <c r="BA64" s="2"/>
    </row>
    <row r="65" spans="53:58" x14ac:dyDescent="0.2">
      <c r="BA65" s="2"/>
    </row>
    <row r="66" spans="53:58" ht="19" x14ac:dyDescent="0.25">
      <c r="BA66" s="100" t="s">
        <v>69</v>
      </c>
      <c r="BB66" s="101"/>
      <c r="BC66" s="5" t="s">
        <v>25</v>
      </c>
      <c r="BD66" s="5" t="s">
        <v>11</v>
      </c>
      <c r="BE66" s="5" t="s">
        <v>6</v>
      </c>
    </row>
    <row r="67" spans="53:58" x14ac:dyDescent="0.2">
      <c r="BA67" s="39" t="s">
        <v>48</v>
      </c>
      <c r="BB67" s="40"/>
      <c r="BC67" s="37">
        <v>0.5</v>
      </c>
      <c r="BD67" s="37">
        <v>0.5</v>
      </c>
      <c r="BE67" s="37">
        <v>0.5</v>
      </c>
    </row>
    <row r="68" spans="53:58" x14ac:dyDescent="0.2">
      <c r="BA68" s="41" t="s">
        <v>38</v>
      </c>
      <c r="BB68" s="42"/>
      <c r="BC68" s="37">
        <f>5000/800/60*15</f>
        <v>1.5625</v>
      </c>
      <c r="BD68" s="37">
        <f>5000/1000/60*20</f>
        <v>1.6666666666666665</v>
      </c>
      <c r="BE68" s="37">
        <f>5000/1000/60*20</f>
        <v>1.6666666666666665</v>
      </c>
      <c r="BF68" t="s">
        <v>41</v>
      </c>
    </row>
    <row r="69" spans="53:58" x14ac:dyDescent="0.2">
      <c r="BA69" s="39" t="s">
        <v>47</v>
      </c>
      <c r="BB69" s="40"/>
      <c r="BC69" s="37">
        <f>'MAA Weight and Balance'!$C20*9.5</f>
        <v>14.25</v>
      </c>
      <c r="BD69" s="37">
        <f>'MAA Weight and Balance'!$C20*14.5</f>
        <v>21.75</v>
      </c>
      <c r="BE69" s="37">
        <f>'MAA Weight and Balance'!$C20*8</f>
        <v>12</v>
      </c>
      <c r="BF69" t="s">
        <v>42</v>
      </c>
    </row>
    <row r="70" spans="53:58" x14ac:dyDescent="0.2">
      <c r="BA70" s="39" t="s">
        <v>39</v>
      </c>
      <c r="BB70" s="43"/>
      <c r="BC70" s="12">
        <f>IF(BC69=0,0,SUM(BC67:BC69))</f>
        <v>16.3125</v>
      </c>
      <c r="BD70" s="12">
        <f>IF(BD69=0,0,SUM(BD67:BD69))</f>
        <v>23.916666666666668</v>
      </c>
      <c r="BE70" s="12">
        <f>IF(BE69=0,0,SUM(BE67:BE69))</f>
        <v>14.166666666666666</v>
      </c>
    </row>
    <row r="71" spans="53:58" x14ac:dyDescent="0.2">
      <c r="BA71" s="44" t="s">
        <v>40</v>
      </c>
      <c r="BB71" s="45"/>
      <c r="BC71" s="12">
        <f>BC70*6</f>
        <v>97.875</v>
      </c>
      <c r="BD71" s="12">
        <f>BD70*6</f>
        <v>143.5</v>
      </c>
      <c r="BE71" s="12">
        <f>BE70*6</f>
        <v>85</v>
      </c>
    </row>
    <row r="72" spans="53:58" x14ac:dyDescent="0.2">
      <c r="BA72" s="2"/>
    </row>
  </sheetData>
  <sheetProtection selectLockedCells="1"/>
  <mergeCells count="10">
    <mergeCell ref="BA66:BB66"/>
    <mergeCell ref="BG33:BH33"/>
    <mergeCell ref="B1:T1"/>
    <mergeCell ref="BC33:BD33"/>
    <mergeCell ref="BE33:BF33"/>
    <mergeCell ref="D18:E18"/>
    <mergeCell ref="D20:G20"/>
    <mergeCell ref="C3:C4"/>
    <mergeCell ref="B3:B4"/>
    <mergeCell ref="D3:E4"/>
  </mergeCells>
  <conditionalFormatting sqref="C18 C20">
    <cfRule type="expression" dxfId="3" priority="5">
      <formula>IF(C18&gt;0,C16-H7,0)</formula>
    </cfRule>
  </conditionalFormatting>
  <conditionalFormatting sqref="C19">
    <cfRule type="expression" dxfId="2" priority="4">
      <formula>IF(C19&gt;0,C17-#REF!,0)</formula>
    </cfRule>
  </conditionalFormatting>
  <conditionalFormatting sqref="D13:D14">
    <cfRule type="beginsWith" dxfId="1" priority="2" operator="beginsWith" text="OVER">
      <formula>LEFT(D13,LEN("OVER"))="OVER"</formula>
    </cfRule>
  </conditionalFormatting>
  <conditionalFormatting sqref="D18">
    <cfRule type="beginsWith" dxfId="0" priority="1" operator="beginsWith" text="  OVER">
      <formula>LEFT(D18,LEN("  OVER"))="  OVER"</formula>
    </cfRule>
  </conditionalFormatting>
  <dataValidations count="1">
    <dataValidation type="list" allowBlank="1" showInputMessage="1" showErrorMessage="1" promptTitle="Aircraft Tail No." prompt="Select Tail Number from drop down list." sqref="C3" xr:uid="{BB7B191F-836F-7049-B6A0-B75678E5C6E8}">
      <formula1>$BC$3:$BF$3</formula1>
    </dataValidation>
  </dataValidations>
  <printOptions horizontalCentered="1"/>
  <pageMargins left="0.75" right="0.75" top="0.75" bottom="0.75" header="0.5" footer="0.5"/>
  <pageSetup scale="51" orientation="landscape" horizontalDpi="4294967292" verticalDpi="4294967292"/>
  <headerFooter>
    <oddHeader>&amp;C&amp;"Arial Bold,Bold"&amp;20&amp;U&amp;K000000MAA Aircraft Weight and Balance Spreadsheet</oddHeader>
    <oddFooter>&amp;L&amp;"Calibri,Regular"&amp;K000000&amp;F&amp;C&amp;"Calibri,Regular"&amp;K000000&amp;P of &amp;N&amp;R&amp;"Calibri,Regular"&amp;K000000&amp;D</oddFooter>
  </headerFooter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MAA Weight and Balance</vt:lpstr>
      <vt:lpstr>'MAA Weight and Balance'!Print_Area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Duszynski</dc:creator>
  <cp:lastModifiedBy>mduszyn@gmail.com</cp:lastModifiedBy>
  <cp:lastPrinted>2023-10-20T20:05:28Z</cp:lastPrinted>
  <dcterms:created xsi:type="dcterms:W3CDTF">2013-08-17T23:28:28Z</dcterms:created>
  <dcterms:modified xsi:type="dcterms:W3CDTF">2024-01-06T17:06:44Z</dcterms:modified>
</cp:coreProperties>
</file>